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 activeTab="1"/>
  </bookViews>
  <sheets>
    <sheet name="Труба , конус" sheetId="1" r:id="rId1"/>
    <sheet name="Колено, тройник" sheetId="2" r:id="rId2"/>
  </sheets>
  <definedNames>
    <definedName name="_xlnm.Print_Area" localSheetId="1">'Колено, тройник'!$A$1:$M$47</definedName>
    <definedName name="_xlnm.Print_Area" localSheetId="0">'Труба , конус'!$A$1:$S$46</definedName>
  </definedNames>
  <calcPr calcId="145621"/>
</workbook>
</file>

<file path=xl/calcChain.xml><?xml version="1.0" encoding="utf-8"?>
<calcChain xmlns="http://schemas.openxmlformats.org/spreadsheetml/2006/main">
  <c r="M45" i="2" l="1"/>
  <c r="M44" i="2"/>
  <c r="L45" i="2"/>
  <c r="L44" i="2"/>
  <c r="K45" i="2"/>
  <c r="K44" i="2"/>
  <c r="J45" i="2"/>
  <c r="J44" i="2"/>
  <c r="I45" i="2"/>
  <c r="I44" i="2"/>
  <c r="H45" i="2"/>
  <c r="H44" i="2"/>
  <c r="G45" i="2"/>
  <c r="G44" i="2"/>
  <c r="F45" i="2"/>
  <c r="F44" i="2"/>
  <c r="E45" i="2"/>
  <c r="E44" i="2"/>
  <c r="D45" i="2"/>
  <c r="D44" i="2"/>
  <c r="M41" i="2"/>
  <c r="M40" i="2"/>
  <c r="L41" i="2"/>
  <c r="L40" i="2"/>
  <c r="K41" i="2"/>
  <c r="K40" i="2"/>
  <c r="J41" i="2"/>
  <c r="J40" i="2"/>
  <c r="I41" i="2"/>
  <c r="I40" i="2"/>
  <c r="H41" i="2"/>
  <c r="H40" i="2"/>
  <c r="G41" i="2"/>
  <c r="G40" i="2"/>
  <c r="F41" i="2"/>
  <c r="F40" i="2"/>
  <c r="E41" i="2"/>
  <c r="E40" i="2"/>
  <c r="D41" i="2"/>
  <c r="D40" i="2"/>
  <c r="M37" i="2"/>
  <c r="L37" i="2"/>
  <c r="K37" i="2"/>
  <c r="J37" i="2"/>
  <c r="I37" i="2"/>
  <c r="H37" i="2"/>
  <c r="G37" i="2"/>
  <c r="F37" i="2"/>
  <c r="E37" i="2"/>
  <c r="D37" i="2"/>
  <c r="M34" i="2"/>
  <c r="M33" i="2"/>
  <c r="L34" i="2"/>
  <c r="L33" i="2"/>
  <c r="K34" i="2"/>
  <c r="K33" i="2"/>
  <c r="J34" i="2"/>
  <c r="J33" i="2"/>
  <c r="I34" i="2"/>
  <c r="I33" i="2"/>
  <c r="H34" i="2"/>
  <c r="H33" i="2"/>
  <c r="G34" i="2"/>
  <c r="G33" i="2"/>
  <c r="F34" i="2"/>
  <c r="F33" i="2"/>
  <c r="E34" i="2"/>
  <c r="E33" i="2"/>
  <c r="D34" i="2"/>
  <c r="D33" i="2"/>
  <c r="M29" i="2"/>
  <c r="M28" i="2"/>
  <c r="L29" i="2"/>
  <c r="L28" i="2"/>
  <c r="K29" i="2"/>
  <c r="K28" i="2"/>
  <c r="J29" i="2"/>
  <c r="J28" i="2"/>
  <c r="I29" i="2"/>
  <c r="I28" i="2"/>
  <c r="H29" i="2"/>
  <c r="H28" i="2"/>
  <c r="G29" i="2"/>
  <c r="G28" i="2"/>
  <c r="F29" i="2"/>
  <c r="F28" i="2"/>
  <c r="E29" i="2"/>
  <c r="E28" i="2"/>
  <c r="D29" i="2"/>
  <c r="D28" i="2"/>
  <c r="M24" i="2"/>
  <c r="M23" i="2"/>
  <c r="L24" i="2"/>
  <c r="L23" i="2"/>
  <c r="K24" i="2"/>
  <c r="K23" i="2"/>
  <c r="J24" i="2"/>
  <c r="J23" i="2"/>
  <c r="I24" i="2"/>
  <c r="I23" i="2"/>
  <c r="H24" i="2"/>
  <c r="H23" i="2"/>
  <c r="G24" i="2"/>
  <c r="G23" i="2"/>
  <c r="F24" i="2"/>
  <c r="F23" i="2"/>
  <c r="E24" i="2"/>
  <c r="E23" i="2"/>
  <c r="D24" i="2"/>
  <c r="D23" i="2"/>
  <c r="M20" i="2"/>
  <c r="M19" i="2"/>
  <c r="L20" i="2"/>
  <c r="L19" i="2"/>
  <c r="K20" i="2"/>
  <c r="K19" i="2"/>
  <c r="J20" i="2"/>
  <c r="J19" i="2"/>
  <c r="I20" i="2"/>
  <c r="I19" i="2"/>
  <c r="H20" i="2"/>
  <c r="H19" i="2"/>
  <c r="G20" i="2"/>
  <c r="G19" i="2"/>
  <c r="F20" i="2"/>
  <c r="F19" i="2"/>
  <c r="E20" i="2"/>
  <c r="E19" i="2"/>
  <c r="D20" i="2"/>
  <c r="D19" i="2"/>
  <c r="M15" i="2"/>
  <c r="M14" i="2"/>
  <c r="L15" i="2"/>
  <c r="L14" i="2"/>
  <c r="K15" i="2"/>
  <c r="K14" i="2"/>
  <c r="J15" i="2"/>
  <c r="J14" i="2"/>
  <c r="I15" i="2"/>
  <c r="I14" i="2"/>
  <c r="H15" i="2"/>
  <c r="H14" i="2"/>
  <c r="G15" i="2"/>
  <c r="G14" i="2"/>
  <c r="F15" i="2"/>
  <c r="F14" i="2"/>
  <c r="E15" i="2"/>
  <c r="E14" i="2"/>
  <c r="D15" i="2"/>
  <c r="D14" i="2"/>
  <c r="M10" i="2"/>
  <c r="M9" i="2"/>
  <c r="L10" i="2"/>
  <c r="L9" i="2"/>
  <c r="K10" i="2"/>
  <c r="K9" i="2"/>
  <c r="J10" i="2"/>
  <c r="J9" i="2"/>
  <c r="I10" i="2"/>
  <c r="I9" i="2"/>
  <c r="H10" i="2"/>
  <c r="H9" i="2"/>
  <c r="G10" i="2"/>
  <c r="G9" i="2"/>
  <c r="F10" i="2"/>
  <c r="F9" i="2"/>
  <c r="E10" i="2"/>
  <c r="E9" i="2"/>
  <c r="D10" i="2"/>
  <c r="D9" i="2"/>
  <c r="L44" i="1"/>
  <c r="K44" i="1"/>
  <c r="J44" i="1"/>
  <c r="I44" i="1"/>
  <c r="H44" i="1"/>
  <c r="G44" i="1"/>
  <c r="F44" i="1"/>
  <c r="E44" i="1"/>
  <c r="D44" i="1"/>
  <c r="C44" i="1"/>
  <c r="L41" i="1"/>
  <c r="L40" i="1"/>
  <c r="K41" i="1"/>
  <c r="K40" i="1"/>
  <c r="J41" i="1"/>
  <c r="J40" i="1"/>
  <c r="I41" i="1"/>
  <c r="I40" i="1"/>
  <c r="H41" i="1"/>
  <c r="H40" i="1"/>
  <c r="G41" i="1"/>
  <c r="G40" i="1"/>
  <c r="F41" i="1"/>
  <c r="F40" i="1"/>
  <c r="E41" i="1"/>
  <c r="E40" i="1"/>
  <c r="D41" i="1"/>
  <c r="D40" i="1"/>
  <c r="C41" i="1"/>
  <c r="C40" i="1"/>
  <c r="L37" i="1"/>
  <c r="L36" i="1"/>
  <c r="K37" i="1"/>
  <c r="K36" i="1"/>
  <c r="J37" i="1"/>
  <c r="J36" i="1"/>
  <c r="I37" i="1"/>
  <c r="I36" i="1"/>
  <c r="H37" i="1"/>
  <c r="H36" i="1"/>
  <c r="G37" i="1"/>
  <c r="G36" i="1"/>
  <c r="F37" i="1"/>
  <c r="F36" i="1"/>
  <c r="E37" i="1"/>
  <c r="E36" i="1"/>
  <c r="D37" i="1"/>
  <c r="D36" i="1"/>
  <c r="C37" i="1"/>
  <c r="C36" i="1"/>
  <c r="L33" i="1"/>
  <c r="K33" i="1"/>
  <c r="J33" i="1"/>
  <c r="I33" i="1"/>
  <c r="H33" i="1"/>
  <c r="G33" i="1"/>
  <c r="F33" i="1"/>
  <c r="E33" i="1"/>
  <c r="D33" i="1"/>
  <c r="C33" i="1"/>
  <c r="L30" i="1"/>
  <c r="L29" i="1"/>
  <c r="K30" i="1"/>
  <c r="K29" i="1"/>
  <c r="J30" i="1"/>
  <c r="J29" i="1"/>
  <c r="I30" i="1"/>
  <c r="I29" i="1"/>
  <c r="H30" i="1"/>
  <c r="H29" i="1"/>
  <c r="G30" i="1"/>
  <c r="G29" i="1"/>
  <c r="F30" i="1"/>
  <c r="F29" i="1"/>
  <c r="E30" i="1"/>
  <c r="E29" i="1"/>
  <c r="D30" i="1"/>
  <c r="D29" i="1"/>
  <c r="C30" i="1"/>
  <c r="C29" i="1"/>
  <c r="L25" i="1"/>
  <c r="K25" i="1"/>
  <c r="J25" i="1"/>
  <c r="I25" i="1"/>
  <c r="H25" i="1"/>
  <c r="G25" i="1"/>
  <c r="F25" i="1"/>
  <c r="E25" i="1"/>
  <c r="D25" i="1"/>
  <c r="C25" i="1"/>
  <c r="L22" i="1"/>
  <c r="L21" i="1"/>
  <c r="L20" i="1"/>
  <c r="K22" i="1"/>
  <c r="K21" i="1"/>
  <c r="K20" i="1"/>
  <c r="J22" i="1"/>
  <c r="J21" i="1"/>
  <c r="J20" i="1"/>
  <c r="I22" i="1"/>
  <c r="I21" i="1"/>
  <c r="I20" i="1"/>
  <c r="H22" i="1"/>
  <c r="H21" i="1"/>
  <c r="H20" i="1"/>
  <c r="G22" i="1"/>
  <c r="G21" i="1"/>
  <c r="G20" i="1"/>
  <c r="F22" i="1"/>
  <c r="F21" i="1"/>
  <c r="F20" i="1"/>
  <c r="E22" i="1"/>
  <c r="E21" i="1"/>
  <c r="E20" i="1"/>
  <c r="D22" i="1"/>
  <c r="D21" i="1"/>
  <c r="D20" i="1"/>
  <c r="C22" i="1"/>
  <c r="C21" i="1"/>
  <c r="C20" i="1"/>
  <c r="L16" i="1"/>
  <c r="L15" i="1"/>
  <c r="L14" i="1"/>
  <c r="K16" i="1"/>
  <c r="K15" i="1"/>
  <c r="K14" i="1"/>
  <c r="J16" i="1"/>
  <c r="J15" i="1"/>
  <c r="J14" i="1"/>
  <c r="I16" i="1"/>
  <c r="I15" i="1"/>
  <c r="I14" i="1"/>
  <c r="H16" i="1"/>
  <c r="H15" i="1"/>
  <c r="H14" i="1"/>
  <c r="G16" i="1"/>
  <c r="G15" i="1"/>
  <c r="G14" i="1"/>
  <c r="F16" i="1"/>
  <c r="F15" i="1"/>
  <c r="F14" i="1"/>
  <c r="E16" i="1"/>
  <c r="E15" i="1"/>
  <c r="E14" i="1"/>
  <c r="D16" i="1"/>
  <c r="D15" i="1"/>
  <c r="D14" i="1"/>
  <c r="C16" i="1"/>
  <c r="C15" i="1"/>
  <c r="C14" i="1"/>
</calcChain>
</file>

<file path=xl/sharedStrings.xml><?xml version="1.0" encoding="utf-8"?>
<sst xmlns="http://schemas.openxmlformats.org/spreadsheetml/2006/main" count="348" uniqueCount="114">
  <si>
    <t>Довжина,товщина</t>
  </si>
  <si>
    <t>ф140</t>
  </si>
  <si>
    <t>ф150</t>
  </si>
  <si>
    <t>ф160</t>
  </si>
  <si>
    <t>ф180</t>
  </si>
  <si>
    <t>ф200</t>
  </si>
  <si>
    <t>ф220</t>
  </si>
  <si>
    <t>ф250</t>
  </si>
  <si>
    <t>ф320</t>
  </si>
  <si>
    <t>/240</t>
  </si>
  <si>
    <t>/260</t>
  </si>
  <si>
    <t>Товщина</t>
  </si>
  <si>
    <t>Коліно 45* н/оц  0,5 мм</t>
  </si>
  <si>
    <t>Коліно 45* н/н  0,5 мм</t>
  </si>
  <si>
    <t>Коліно 90* н/оц  0,5 мм</t>
  </si>
  <si>
    <t>Коліно 90* н/н  0,5 мм</t>
  </si>
  <si>
    <t xml:space="preserve">Конус </t>
  </si>
  <si>
    <t>Конус н/оц 0,5 мм</t>
  </si>
  <si>
    <t>Конус н/н 0,5 мм</t>
  </si>
  <si>
    <t>Дефлектор</t>
  </si>
  <si>
    <t>Зонт</t>
  </si>
  <si>
    <t>Зонт оц 0,5 мм</t>
  </si>
  <si>
    <t>Зонт н 0,5 мм</t>
  </si>
  <si>
    <t>Трійник 90*  0,8 мм</t>
  </si>
  <si>
    <t>Трійник 45* н/оц  0,5 мм</t>
  </si>
  <si>
    <t>Трійник 90* н/оц  0,5 мм</t>
  </si>
  <si>
    <t>Трійник 45* н/н  0,5 мм</t>
  </si>
  <si>
    <t>Трійник 90* н/н  0,5 мм</t>
  </si>
  <si>
    <t>Криза</t>
  </si>
  <si>
    <t>Кут</t>
  </si>
  <si>
    <t>Круг</t>
  </si>
  <si>
    <t>ф120</t>
  </si>
  <si>
    <t>/220</t>
  </si>
  <si>
    <t>140х140</t>
  </si>
  <si>
    <t>150х150</t>
  </si>
  <si>
    <t>160х160</t>
  </si>
  <si>
    <t>180х180</t>
  </si>
  <si>
    <t>200х200</t>
  </si>
  <si>
    <t>220х220</t>
  </si>
  <si>
    <t>250х250</t>
  </si>
  <si>
    <t>120х120</t>
  </si>
  <si>
    <t>/180</t>
  </si>
  <si>
    <t>/200</t>
  </si>
  <si>
    <t>/210</t>
  </si>
  <si>
    <t>/290</t>
  </si>
  <si>
    <t>Коліно 45*  0,5 мм нерж.</t>
  </si>
  <si>
    <t>Коліно 90*  0,5 мм нерж.</t>
  </si>
  <si>
    <t>Трійник 45* 0,5 мм нерж.</t>
  </si>
  <si>
    <t>Трійник 90* 0,5 мм нерж.</t>
  </si>
  <si>
    <t>L=1,0 м, 0,5 мм н/оц</t>
  </si>
  <si>
    <t>L=0,5 м, 0,5 мм н/оц</t>
  </si>
  <si>
    <t>L=1,0 м, 0,5 мм н/н</t>
  </si>
  <si>
    <t>L=0,5 м, 0,5 мм н/н</t>
  </si>
  <si>
    <t xml:space="preserve">Прайс-лист </t>
  </si>
  <si>
    <t xml:space="preserve">  димоходів</t>
  </si>
  <si>
    <t>Окапник оц 0,5 мм</t>
  </si>
  <si>
    <t>Окапник н 0,5 мм</t>
  </si>
  <si>
    <t>ф130</t>
  </si>
  <si>
    <t>/190</t>
  </si>
  <si>
    <t>130х130</t>
  </si>
  <si>
    <t xml:space="preserve">Дефлектор н 0,5 мм </t>
  </si>
  <si>
    <t>L=0,25 м, 0,5 мм н/оц</t>
  </si>
  <si>
    <t>L=0,25 м, 0,5 мм н/н</t>
  </si>
  <si>
    <t>н/н</t>
  </si>
  <si>
    <t>н/оц</t>
  </si>
  <si>
    <t>н</t>
  </si>
  <si>
    <t xml:space="preserve">  Труба із нержавіючої сталі </t>
  </si>
  <si>
    <t xml:space="preserve"> димоходів</t>
  </si>
  <si>
    <t>Коліно із нержавіючої сталі</t>
  </si>
  <si>
    <t xml:space="preserve"> Коліно із  нержавіючої сталі з теплоізоляцією в оцинкованному кожусі</t>
  </si>
  <si>
    <t>Коліно із  нержавіючої сталі з теплоізоляцією в нержавіючому кожусі</t>
  </si>
  <si>
    <t>Трійник із нержавіючої сталі</t>
  </si>
  <si>
    <t>Трійник із  нержавіючої сталі  з теплоізоляцією в оцинкованному кожусі</t>
  </si>
  <si>
    <t>Трійник із  нержавіючої сталі  з теплоізоляцією в нержавіючому кожусі</t>
  </si>
  <si>
    <t>Трійник квадратний із нержавіючої сталі</t>
  </si>
  <si>
    <t xml:space="preserve"> Труба із нержавіючої сталі  з теплоізоляцією в оцинкованному кожусі </t>
  </si>
  <si>
    <t>Труба із нержавіючої сталі  з теплоізоляцією в нержавіючому кожусі</t>
  </si>
  <si>
    <t>Радиаторная труба із нержавіючої сталі</t>
  </si>
  <si>
    <t>Перехід з квадрата на круг</t>
  </si>
  <si>
    <t>0-15, 15-30 оцин</t>
  </si>
  <si>
    <t>/320</t>
  </si>
  <si>
    <t>Термін виготовлення виробів від 1 до 3 днів.</t>
  </si>
  <si>
    <t>/270</t>
  </si>
  <si>
    <t xml:space="preserve">0-30 нерж. </t>
  </si>
  <si>
    <t>ф210</t>
  </si>
  <si>
    <t>ф240</t>
  </si>
  <si>
    <t>ф260</t>
  </si>
  <si>
    <t>ф290</t>
  </si>
  <si>
    <t xml:space="preserve"> Хомут обжимной, Хомут растяжной</t>
  </si>
  <si>
    <t>Хомут обжимной н. 0,5 мм</t>
  </si>
  <si>
    <t>Хомут растяжной н 0,5 мм</t>
  </si>
  <si>
    <t xml:space="preserve">Окапник, Заглушка, Дека х1,5 </t>
  </si>
  <si>
    <t>ф300</t>
  </si>
  <si>
    <t>/370</t>
  </si>
  <si>
    <t>300х300</t>
  </si>
  <si>
    <t>ф370</t>
  </si>
  <si>
    <t>L=1,0 м, 0,5 мм н.</t>
  </si>
  <si>
    <t>L=0,5 м, 0,5 мм н.</t>
  </si>
  <si>
    <t xml:space="preserve">   Ціни вказані в гривнях з AISI 430</t>
  </si>
  <si>
    <t xml:space="preserve">      Ціни вказані в гривнях з AISI 430</t>
  </si>
  <si>
    <t>Таблиця формування ціни з застосуванням різних матеріалів:</t>
  </si>
  <si>
    <t>внутрішня труба / кожух</t>
  </si>
  <si>
    <t>AISI 430 / цинк = ціни у прайсі (н/оц)</t>
  </si>
  <si>
    <t>AISI 430 / RAL  =  (ціни у прайсі (н/оц))+30%</t>
  </si>
  <si>
    <t>AISI 304 / RAL  =  (ціни у прайсі (н/оц))+40%</t>
  </si>
  <si>
    <t>AISI 321 / RAL  =  (ціни у прайсі (н/н))+50%</t>
  </si>
  <si>
    <t>від 02.10.2017 р.</t>
  </si>
  <si>
    <t>Перехід нерж. 0,5 мм</t>
  </si>
  <si>
    <t>3 днів</t>
  </si>
  <si>
    <t>0* н/н 0,5 мм</t>
  </si>
  <si>
    <t>нів.</t>
  </si>
  <si>
    <t>від3 днів</t>
  </si>
  <si>
    <t xml:space="preserve">   </t>
  </si>
  <si>
    <t xml:space="preserve">                       від 02.10.2017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</si>
</sst>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u/>
      <sz val="13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 applyAlignment="1">
      <alignment horizontal="left"/>
    </xf>
    <xf numFmtId="0" fontId="3" fillId="0" borderId="0" xfId="0" applyFont="1"/>
    <xf numFmtId="0" fontId="2" fillId="0" borderId="0" xfId="0" applyFont="1"/>
    <xf numFmtId="1" fontId="0" fillId="2" borderId="1" xfId="0" applyNumberFormat="1" applyFont="1" applyFill="1" applyBorder="1"/>
    <xf numFmtId="1" fontId="0" fillId="0" borderId="1" xfId="0" applyNumberFormat="1" applyFont="1" applyBorder="1" applyAlignment="1"/>
    <xf numFmtId="0" fontId="4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3" borderId="1" xfId="0" applyFill="1" applyBorder="1"/>
    <xf numFmtId="0" fontId="0" fillId="3" borderId="5" xfId="0" applyFill="1" applyBorder="1" applyAlignment="1"/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" xfId="0" applyFont="1" applyFill="1" applyBorder="1"/>
    <xf numFmtId="1" fontId="0" fillId="2" borderId="1" xfId="0" applyNumberFormat="1" applyFont="1" applyFill="1" applyBorder="1" applyAlignment="1">
      <alignment horizontal="right"/>
    </xf>
    <xf numFmtId="1" fontId="0" fillId="2" borderId="8" xfId="0" applyNumberFormat="1" applyFont="1" applyFill="1" applyBorder="1" applyAlignment="1">
      <alignment horizontal="right"/>
    </xf>
    <xf numFmtId="0" fontId="0" fillId="3" borderId="8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5" xfId="0" applyFont="1" applyFill="1" applyBorder="1" applyAlignment="1"/>
    <xf numFmtId="0" fontId="0" fillId="3" borderId="2" xfId="0" applyFont="1" applyFill="1" applyBorder="1"/>
    <xf numFmtId="0" fontId="0" fillId="0" borderId="0" xfId="0" applyAlignment="1">
      <alignment horizontal="left"/>
    </xf>
    <xf numFmtId="0" fontId="0" fillId="3" borderId="8" xfId="0" applyFont="1" applyFill="1" applyBorder="1" applyAlignment="1">
      <alignment horizontal="center"/>
    </xf>
    <xf numFmtId="0" fontId="0" fillId="2" borderId="10" xfId="0" applyFont="1" applyFill="1" applyBorder="1"/>
    <xf numFmtId="1" fontId="0" fillId="2" borderId="0" xfId="0" applyNumberFormat="1" applyFont="1" applyFill="1" applyBorder="1" applyAlignment="1">
      <alignment horizontal="right"/>
    </xf>
    <xf numFmtId="1" fontId="0" fillId="2" borderId="0" xfId="0" applyNumberFormat="1" applyFont="1" applyFill="1" applyBorder="1"/>
    <xf numFmtId="0" fontId="0" fillId="3" borderId="1" xfId="0" applyFont="1" applyFill="1" applyBorder="1" applyAlignment="1">
      <alignment horizontal="center"/>
    </xf>
    <xf numFmtId="0" fontId="0" fillId="0" borderId="7" xfId="0" applyFont="1" applyBorder="1" applyAlignment="1"/>
    <xf numFmtId="0" fontId="9" fillId="0" borderId="0" xfId="0" applyFont="1" applyAlignment="1">
      <alignment horizontal="center"/>
    </xf>
    <xf numFmtId="0" fontId="6" fillId="0" borderId="10" xfId="0" applyFont="1" applyBorder="1" applyAlignment="1"/>
    <xf numFmtId="0" fontId="9" fillId="0" borderId="0" xfId="0" applyFont="1"/>
    <xf numFmtId="0" fontId="1" fillId="3" borderId="7" xfId="0" applyFont="1" applyFill="1" applyBorder="1" applyAlignment="1">
      <alignment horizontal="center"/>
    </xf>
    <xf numFmtId="0" fontId="3" fillId="0" borderId="0" xfId="0" applyFont="1" applyBorder="1"/>
    <xf numFmtId="0" fontId="0" fillId="0" borderId="8" xfId="0" applyBorder="1"/>
    <xf numFmtId="0" fontId="0" fillId="3" borderId="8" xfId="0" applyFill="1" applyBorder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0" fontId="10" fillId="0" borderId="0" xfId="0" applyFont="1"/>
    <xf numFmtId="0" fontId="10" fillId="3" borderId="1" xfId="0" applyFont="1" applyFill="1" applyBorder="1"/>
    <xf numFmtId="0" fontId="10" fillId="2" borderId="1" xfId="0" applyFont="1" applyFill="1" applyBorder="1"/>
    <xf numFmtId="1" fontId="10" fillId="2" borderId="1" xfId="0" applyNumberFormat="1" applyFont="1" applyFill="1" applyBorder="1"/>
    <xf numFmtId="0" fontId="12" fillId="0" borderId="0" xfId="0" applyFont="1"/>
    <xf numFmtId="0" fontId="11" fillId="0" borderId="0" xfId="0" applyFont="1" applyAlignment="1"/>
    <xf numFmtId="0" fontId="13" fillId="0" borderId="0" xfId="1" applyFont="1" applyAlignment="1"/>
    <xf numFmtId="0" fontId="10" fillId="3" borderId="7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10" fillId="3" borderId="2" xfId="0" applyFont="1" applyFill="1" applyBorder="1"/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0" borderId="1" xfId="0" applyFont="1" applyBorder="1"/>
    <xf numFmtId="0" fontId="10" fillId="3" borderId="4" xfId="0" applyFont="1" applyFill="1" applyBorder="1" applyAlignment="1"/>
    <xf numFmtId="0" fontId="10" fillId="0" borderId="7" xfId="0" applyFont="1" applyBorder="1" applyAlignment="1"/>
    <xf numFmtId="1" fontId="10" fillId="0" borderId="1" xfId="0" applyNumberFormat="1" applyFont="1" applyBorder="1" applyAlignment="1">
      <alignment horizontal="right"/>
    </xf>
    <xf numFmtId="1" fontId="10" fillId="0" borderId="8" xfId="0" applyNumberFormat="1" applyFont="1" applyBorder="1" applyAlignment="1">
      <alignment horizontal="right"/>
    </xf>
    <xf numFmtId="1" fontId="10" fillId="0" borderId="1" xfId="0" applyNumberFormat="1" applyFont="1" applyBorder="1"/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vertical="center"/>
    </xf>
    <xf numFmtId="1" fontId="10" fillId="0" borderId="1" xfId="0" applyNumberFormat="1" applyFont="1" applyBorder="1" applyAlignment="1"/>
    <xf numFmtId="0" fontId="10" fillId="3" borderId="8" xfId="0" applyFont="1" applyFill="1" applyBorder="1" applyAlignment="1">
      <alignment horizontal="center"/>
    </xf>
    <xf numFmtId="0" fontId="10" fillId="2" borderId="7" xfId="0" applyFont="1" applyFill="1" applyBorder="1" applyAlignment="1"/>
    <xf numFmtId="1" fontId="14" fillId="2" borderId="1" xfId="0" applyNumberFormat="1" applyFont="1" applyFill="1" applyBorder="1"/>
    <xf numFmtId="0" fontId="0" fillId="0" borderId="7" xfId="0" applyBorder="1"/>
    <xf numFmtId="0" fontId="0" fillId="0" borderId="10" xfId="0" applyBorder="1"/>
    <xf numFmtId="164" fontId="12" fillId="0" borderId="0" xfId="0" applyNumberFormat="1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164" fontId="5" fillId="0" borderId="0" xfId="1" applyNumberFormat="1" applyAlignment="1">
      <alignment horizontal="center"/>
    </xf>
    <xf numFmtId="0" fontId="15" fillId="0" borderId="0" xfId="0" applyFont="1"/>
    <xf numFmtId="164" fontId="12" fillId="0" borderId="0" xfId="0" applyNumberFormat="1" applyFont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emf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14</xdr:row>
      <xdr:rowOff>0</xdr:rowOff>
    </xdr:from>
    <xdr:to>
      <xdr:col>0</xdr:col>
      <xdr:colOff>454819</xdr:colOff>
      <xdr:row>17</xdr:row>
      <xdr:rowOff>28574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81551"/>
          <a:ext cx="340519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66676</xdr:colOff>
      <xdr:row>20</xdr:row>
      <xdr:rowOff>0</xdr:rowOff>
    </xdr:from>
    <xdr:to>
      <xdr:col>0</xdr:col>
      <xdr:colOff>409576</xdr:colOff>
      <xdr:row>23</xdr:row>
      <xdr:rowOff>28574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7115176"/>
          <a:ext cx="342900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8</xdr:row>
      <xdr:rowOff>123824</xdr:rowOff>
    </xdr:from>
    <xdr:to>
      <xdr:col>0</xdr:col>
      <xdr:colOff>495301</xdr:colOff>
      <xdr:row>12</xdr:row>
      <xdr:rowOff>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181224"/>
          <a:ext cx="381001" cy="80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33</xdr:row>
      <xdr:rowOff>257174</xdr:rowOff>
    </xdr:from>
    <xdr:to>
      <xdr:col>0</xdr:col>
      <xdr:colOff>581025</xdr:colOff>
      <xdr:row>35</xdr:row>
      <xdr:rowOff>200025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506199"/>
          <a:ext cx="504825" cy="447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22</xdr:row>
      <xdr:rowOff>219075</xdr:rowOff>
    </xdr:from>
    <xdr:to>
      <xdr:col>0</xdr:col>
      <xdr:colOff>476250</xdr:colOff>
      <xdr:row>25</xdr:row>
      <xdr:rowOff>257174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875" y="8782050"/>
          <a:ext cx="333375" cy="78104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30</xdr:row>
      <xdr:rowOff>190500</xdr:rowOff>
    </xdr:from>
    <xdr:to>
      <xdr:col>0</xdr:col>
      <xdr:colOff>514350</xdr:colOff>
      <xdr:row>33</xdr:row>
      <xdr:rowOff>66676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725" y="12134850"/>
          <a:ext cx="428625" cy="6191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47624</xdr:rowOff>
    </xdr:from>
    <xdr:to>
      <xdr:col>0</xdr:col>
      <xdr:colOff>561975</xdr:colOff>
      <xdr:row>40</xdr:row>
      <xdr:rowOff>38099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13935074"/>
          <a:ext cx="561975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26</xdr:row>
      <xdr:rowOff>9524</xdr:rowOff>
    </xdr:from>
    <xdr:to>
      <xdr:col>0</xdr:col>
      <xdr:colOff>514350</xdr:colOff>
      <xdr:row>28</xdr:row>
      <xdr:rowOff>104775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4300" y="9658349"/>
          <a:ext cx="400050" cy="57150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43</xdr:row>
      <xdr:rowOff>0</xdr:rowOff>
    </xdr:from>
    <xdr:to>
      <xdr:col>0</xdr:col>
      <xdr:colOff>504825</xdr:colOff>
      <xdr:row>44</xdr:row>
      <xdr:rowOff>185684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6676" y="15811500"/>
          <a:ext cx="438149" cy="4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262691</xdr:colOff>
      <xdr:row>8</xdr:row>
      <xdr:rowOff>64215</xdr:rowOff>
    </xdr:from>
    <xdr:to>
      <xdr:col>0</xdr:col>
      <xdr:colOff>838200</xdr:colOff>
      <xdr:row>10</xdr:row>
      <xdr:rowOff>147977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91" y="2188290"/>
          <a:ext cx="575509" cy="464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13</xdr:row>
      <xdr:rowOff>149831</xdr:rowOff>
    </xdr:from>
    <xdr:to>
      <xdr:col>0</xdr:col>
      <xdr:colOff>781050</xdr:colOff>
      <xdr:row>16</xdr:row>
      <xdr:rowOff>80206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064606"/>
          <a:ext cx="581025" cy="5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267556</xdr:colOff>
      <xdr:row>19</xdr:row>
      <xdr:rowOff>0</xdr:rowOff>
    </xdr:from>
    <xdr:to>
      <xdr:col>0</xdr:col>
      <xdr:colOff>828675</xdr:colOff>
      <xdr:row>21</xdr:row>
      <xdr:rowOff>107538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556" y="5895975"/>
          <a:ext cx="561119" cy="564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228602</xdr:colOff>
      <xdr:row>23</xdr:row>
      <xdr:rowOff>0</xdr:rowOff>
    </xdr:from>
    <xdr:to>
      <xdr:col>0</xdr:col>
      <xdr:colOff>733426</xdr:colOff>
      <xdr:row>25</xdr:row>
      <xdr:rowOff>115053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2" y="7686675"/>
          <a:ext cx="504824" cy="572253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28</xdr:row>
      <xdr:rowOff>0</xdr:rowOff>
    </xdr:from>
    <xdr:to>
      <xdr:col>0</xdr:col>
      <xdr:colOff>723901</xdr:colOff>
      <xdr:row>30</xdr:row>
      <xdr:rowOff>66675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8601" y="9286875"/>
          <a:ext cx="49530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33</xdr:row>
      <xdr:rowOff>0</xdr:rowOff>
    </xdr:from>
    <xdr:to>
      <xdr:col>0</xdr:col>
      <xdr:colOff>723900</xdr:colOff>
      <xdr:row>35</xdr:row>
      <xdr:rowOff>57150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19075" y="11077575"/>
          <a:ext cx="504825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34</xdr:row>
      <xdr:rowOff>256854</xdr:rowOff>
    </xdr:from>
    <xdr:to>
      <xdr:col>0</xdr:col>
      <xdr:colOff>723900</xdr:colOff>
      <xdr:row>38</xdr:row>
      <xdr:rowOff>66675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725" y="12286929"/>
          <a:ext cx="638175" cy="724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34" zoomScaleNormal="100" workbookViewId="0">
      <selection activeCell="F2" sqref="F2"/>
    </sheetView>
  </sheetViews>
  <sheetFormatPr defaultRowHeight="15" x14ac:dyDescent="0.25"/>
  <cols>
    <col min="2" max="2" width="28" customWidth="1"/>
    <col min="3" max="3" width="7.5703125" customWidth="1"/>
    <col min="4" max="4" width="7.7109375" customWidth="1"/>
    <col min="5" max="5" width="7.5703125" customWidth="1"/>
    <col min="6" max="6" width="7.42578125" customWidth="1"/>
    <col min="7" max="7" width="7.5703125" customWidth="1"/>
    <col min="8" max="8" width="7.140625" customWidth="1"/>
    <col min="9" max="10" width="7.28515625" customWidth="1"/>
    <col min="11" max="11" width="7.85546875" customWidth="1"/>
    <col min="12" max="12" width="8.140625" customWidth="1"/>
    <col min="13" max="13" width="9.28515625" customWidth="1"/>
    <col min="14" max="19" width="10.7109375" customWidth="1"/>
  </cols>
  <sheetData>
    <row r="1" spans="1:19" ht="18.75" x14ac:dyDescent="0.3">
      <c r="A1" s="4"/>
      <c r="C1" s="4"/>
      <c r="D1" s="4"/>
      <c r="F1" s="8"/>
      <c r="G1" s="8"/>
      <c r="H1" s="8"/>
    </row>
    <row r="2" spans="1:19" ht="26.25" x14ac:dyDescent="0.4">
      <c r="A2" s="4"/>
      <c r="B2" s="9"/>
      <c r="C2" s="4"/>
      <c r="D2" s="4"/>
      <c r="F2" s="8"/>
      <c r="G2" s="81" t="s">
        <v>53</v>
      </c>
      <c r="H2" s="81"/>
      <c r="I2" s="81"/>
      <c r="J2" s="81"/>
      <c r="L2" s="3"/>
    </row>
    <row r="3" spans="1:19" ht="18.75" x14ac:dyDescent="0.3">
      <c r="A3" s="4"/>
      <c r="B3" s="90"/>
      <c r="C3" s="90"/>
      <c r="D3" s="90"/>
      <c r="E3" s="90"/>
      <c r="F3" s="90"/>
      <c r="G3" s="89" t="s">
        <v>54</v>
      </c>
      <c r="H3" s="89"/>
      <c r="I3" s="89"/>
      <c r="J3" s="89"/>
      <c r="K3" s="47"/>
      <c r="L3" s="47"/>
    </row>
    <row r="4" spans="1:19" ht="18.75" x14ac:dyDescent="0.3">
      <c r="A4" s="4"/>
      <c r="B4" s="90"/>
      <c r="C4" s="90"/>
      <c r="D4" s="90"/>
      <c r="E4" s="90"/>
      <c r="F4" s="48" t="s">
        <v>112</v>
      </c>
      <c r="G4" s="74" t="s">
        <v>113</v>
      </c>
      <c r="H4" s="74"/>
      <c r="I4" s="74"/>
      <c r="L4" s="49"/>
      <c r="M4" s="25"/>
    </row>
    <row r="5" spans="1:19" ht="18.75" x14ac:dyDescent="0.3">
      <c r="A5" s="4"/>
      <c r="B5" s="71"/>
      <c r="C5" s="71"/>
      <c r="D5" s="71"/>
      <c r="E5" s="71"/>
      <c r="F5" s="70"/>
      <c r="G5" s="70"/>
      <c r="H5" s="70"/>
      <c r="I5" s="72"/>
      <c r="J5" s="69"/>
      <c r="K5" s="69"/>
      <c r="L5" s="49"/>
      <c r="M5" s="25"/>
    </row>
    <row r="6" spans="1:19" ht="21" customHeight="1" x14ac:dyDescent="0.35">
      <c r="A6" s="4"/>
      <c r="B6" s="10"/>
      <c r="C6" s="36"/>
      <c r="D6" s="91" t="s">
        <v>98</v>
      </c>
      <c r="E6" s="91"/>
      <c r="F6" s="91"/>
      <c r="G6" s="91"/>
      <c r="H6" s="91"/>
      <c r="I6" s="91"/>
      <c r="J6" s="91"/>
      <c r="K6" s="91"/>
      <c r="N6" s="92" t="s">
        <v>100</v>
      </c>
      <c r="O6" s="92"/>
      <c r="P6" s="92"/>
      <c r="Q6" s="92"/>
      <c r="R6" s="92"/>
      <c r="S6" s="92"/>
    </row>
    <row r="7" spans="1:19" ht="21" x14ac:dyDescent="0.35">
      <c r="A7" s="32" t="s">
        <v>65</v>
      </c>
      <c r="B7" s="88" t="s">
        <v>66</v>
      </c>
      <c r="C7" s="88"/>
      <c r="D7" s="88"/>
      <c r="E7" s="88"/>
      <c r="F7" s="88"/>
      <c r="G7" s="88"/>
      <c r="H7" s="88"/>
      <c r="N7" s="92"/>
      <c r="O7" s="92"/>
      <c r="P7" s="92"/>
      <c r="Q7" s="92"/>
      <c r="R7" s="92"/>
      <c r="S7" s="92"/>
    </row>
    <row r="8" spans="1:19" ht="18.75" x14ac:dyDescent="0.3">
      <c r="B8" s="44" t="s">
        <v>0</v>
      </c>
      <c r="C8" s="44" t="s">
        <v>31</v>
      </c>
      <c r="D8" s="44" t="s">
        <v>57</v>
      </c>
      <c r="E8" s="44" t="s">
        <v>1</v>
      </c>
      <c r="F8" s="44" t="s">
        <v>2</v>
      </c>
      <c r="G8" s="44" t="s">
        <v>3</v>
      </c>
      <c r="H8" s="44" t="s">
        <v>4</v>
      </c>
      <c r="I8" s="44" t="s">
        <v>5</v>
      </c>
      <c r="J8" s="44" t="s">
        <v>6</v>
      </c>
      <c r="K8" s="44" t="s">
        <v>7</v>
      </c>
      <c r="L8" s="44" t="s">
        <v>92</v>
      </c>
      <c r="M8" s="10"/>
      <c r="N8" s="75" t="s">
        <v>101</v>
      </c>
      <c r="O8" s="76"/>
      <c r="P8" s="76"/>
      <c r="Q8" s="76"/>
      <c r="R8" s="76"/>
      <c r="S8" s="77"/>
    </row>
    <row r="9" spans="1:19" ht="18.75" x14ac:dyDescent="0.3">
      <c r="B9" s="45" t="s">
        <v>96</v>
      </c>
      <c r="C9" s="66">
        <v>175</v>
      </c>
      <c r="D9" s="46">
        <v>185</v>
      </c>
      <c r="E9" s="46">
        <v>200</v>
      </c>
      <c r="F9" s="46">
        <v>225</v>
      </c>
      <c r="G9" s="46">
        <v>250</v>
      </c>
      <c r="H9" s="46">
        <v>275</v>
      </c>
      <c r="I9" s="46">
        <v>300</v>
      </c>
      <c r="J9" s="46">
        <v>325</v>
      </c>
      <c r="K9" s="46">
        <v>350</v>
      </c>
      <c r="L9" s="46">
        <v>400</v>
      </c>
      <c r="M9" s="10"/>
      <c r="N9" s="78" t="s">
        <v>102</v>
      </c>
      <c r="O9" s="79"/>
      <c r="P9" s="79"/>
      <c r="Q9" s="79"/>
      <c r="R9" s="79"/>
      <c r="S9" s="80"/>
    </row>
    <row r="10" spans="1:19" ht="18.75" x14ac:dyDescent="0.3">
      <c r="B10" s="45" t="s">
        <v>97</v>
      </c>
      <c r="C10" s="46">
        <v>100</v>
      </c>
      <c r="D10" s="46">
        <v>105</v>
      </c>
      <c r="E10" s="46">
        <v>115</v>
      </c>
      <c r="F10" s="46">
        <v>120</v>
      </c>
      <c r="G10" s="46">
        <v>130</v>
      </c>
      <c r="H10" s="46">
        <v>150</v>
      </c>
      <c r="I10" s="46">
        <v>170</v>
      </c>
      <c r="J10" s="46">
        <v>185</v>
      </c>
      <c r="K10" s="46">
        <v>200</v>
      </c>
      <c r="L10" s="46">
        <v>240</v>
      </c>
      <c r="M10" s="10"/>
      <c r="N10" s="82"/>
      <c r="O10" s="83"/>
      <c r="P10" s="83"/>
      <c r="Q10" s="83"/>
      <c r="R10" s="83"/>
      <c r="S10" s="84"/>
    </row>
    <row r="11" spans="1:19" ht="21" x14ac:dyDescent="0.35">
      <c r="A11" s="32" t="s">
        <v>64</v>
      </c>
      <c r="B11" s="33" t="s">
        <v>75</v>
      </c>
      <c r="C11" s="33"/>
      <c r="D11" s="33"/>
      <c r="E11" s="33"/>
      <c r="F11" s="33"/>
      <c r="G11" s="33"/>
      <c r="M11" s="10"/>
      <c r="N11" s="67"/>
      <c r="O11" s="68"/>
      <c r="P11" s="68"/>
      <c r="Q11" s="68"/>
      <c r="R11" s="68"/>
      <c r="S11" s="37"/>
    </row>
    <row r="12" spans="1:19" ht="14.25" customHeight="1" x14ac:dyDescent="0.3">
      <c r="B12" s="86" t="s">
        <v>0</v>
      </c>
      <c r="C12" s="51" t="s">
        <v>31</v>
      </c>
      <c r="D12" s="51" t="s">
        <v>57</v>
      </c>
      <c r="E12" s="51" t="s">
        <v>1</v>
      </c>
      <c r="F12" s="52" t="s">
        <v>2</v>
      </c>
      <c r="G12" s="52" t="s">
        <v>3</v>
      </c>
      <c r="H12" s="52" t="s">
        <v>4</v>
      </c>
      <c r="I12" s="52" t="s">
        <v>5</v>
      </c>
      <c r="J12" s="52" t="s">
        <v>6</v>
      </c>
      <c r="K12" s="52" t="s">
        <v>7</v>
      </c>
      <c r="L12" s="52" t="s">
        <v>92</v>
      </c>
      <c r="M12" s="10"/>
      <c r="N12" s="78" t="s">
        <v>103</v>
      </c>
      <c r="O12" s="79"/>
      <c r="P12" s="79"/>
      <c r="Q12" s="79"/>
      <c r="R12" s="79"/>
      <c r="S12" s="80"/>
    </row>
    <row r="13" spans="1:19" ht="14.25" customHeight="1" x14ac:dyDescent="0.3">
      <c r="B13" s="87"/>
      <c r="C13" s="53" t="s">
        <v>41</v>
      </c>
      <c r="D13" s="53" t="s">
        <v>58</v>
      </c>
      <c r="E13" s="53" t="s">
        <v>42</v>
      </c>
      <c r="F13" s="54" t="s">
        <v>43</v>
      </c>
      <c r="G13" s="54" t="s">
        <v>32</v>
      </c>
      <c r="H13" s="54" t="s">
        <v>9</v>
      </c>
      <c r="I13" s="54" t="s">
        <v>10</v>
      </c>
      <c r="J13" s="54" t="s">
        <v>44</v>
      </c>
      <c r="K13" s="54" t="s">
        <v>80</v>
      </c>
      <c r="L13" s="54" t="s">
        <v>93</v>
      </c>
      <c r="M13" s="11"/>
      <c r="N13" s="78" t="s">
        <v>104</v>
      </c>
      <c r="O13" s="79"/>
      <c r="P13" s="79"/>
      <c r="Q13" s="79"/>
      <c r="R13" s="79"/>
      <c r="S13" s="80"/>
    </row>
    <row r="14" spans="1:19" ht="18.75" x14ac:dyDescent="0.3">
      <c r="B14" s="45" t="s">
        <v>49</v>
      </c>
      <c r="C14" s="46">
        <f>413*1.05</f>
        <v>433.65000000000003</v>
      </c>
      <c r="D14" s="46">
        <f>451*1.05</f>
        <v>473.55</v>
      </c>
      <c r="E14" s="46">
        <f>479*1.05</f>
        <v>502.95000000000005</v>
      </c>
      <c r="F14" s="46">
        <f>502*1.05</f>
        <v>527.1</v>
      </c>
      <c r="G14" s="46">
        <f>524*1.05</f>
        <v>550.20000000000005</v>
      </c>
      <c r="H14" s="46">
        <f>580*1.05</f>
        <v>609</v>
      </c>
      <c r="I14" s="46">
        <f>622*1.05</f>
        <v>653.1</v>
      </c>
      <c r="J14" s="46">
        <f>753*1.05</f>
        <v>790.65</v>
      </c>
      <c r="K14" s="46">
        <f>977*1.05</f>
        <v>1025.8500000000001</v>
      </c>
      <c r="L14" s="46">
        <f>1172*1.05</f>
        <v>1230.6000000000001</v>
      </c>
      <c r="M14" s="12"/>
      <c r="N14" s="78" t="s">
        <v>105</v>
      </c>
      <c r="O14" s="79"/>
      <c r="P14" s="79"/>
      <c r="Q14" s="79"/>
      <c r="R14" s="79"/>
      <c r="S14" s="80"/>
    </row>
    <row r="15" spans="1:19" ht="18.75" x14ac:dyDescent="0.3">
      <c r="B15" s="45" t="s">
        <v>50</v>
      </c>
      <c r="C15" s="46">
        <f>271*1.05</f>
        <v>284.55</v>
      </c>
      <c r="D15" s="46">
        <f>296*1.05</f>
        <v>310.8</v>
      </c>
      <c r="E15" s="46">
        <f>307*1.05</f>
        <v>322.35000000000002</v>
      </c>
      <c r="F15" s="46">
        <f>328*1.05</f>
        <v>344.40000000000003</v>
      </c>
      <c r="G15" s="46">
        <f>340*1.05</f>
        <v>357</v>
      </c>
      <c r="H15" s="46">
        <f>377*1.05</f>
        <v>395.85</v>
      </c>
      <c r="I15" s="46">
        <f>403*1.05</f>
        <v>423.15000000000003</v>
      </c>
      <c r="J15" s="46">
        <f>494*1.05</f>
        <v>518.70000000000005</v>
      </c>
      <c r="K15" s="46">
        <f>641*1.05</f>
        <v>673.05000000000007</v>
      </c>
      <c r="L15" s="46">
        <f>769*1.05</f>
        <v>807.45</v>
      </c>
      <c r="M15" s="12"/>
    </row>
    <row r="16" spans="1:19" ht="18.75" x14ac:dyDescent="0.3">
      <c r="B16" s="45" t="s">
        <v>61</v>
      </c>
      <c r="C16" s="46">
        <f>195*1.05</f>
        <v>204.75</v>
      </c>
      <c r="D16" s="46">
        <f>204*1.05</f>
        <v>214.20000000000002</v>
      </c>
      <c r="E16" s="46">
        <f>213*1.05</f>
        <v>223.65</v>
      </c>
      <c r="F16" s="46">
        <f>225*1.05</f>
        <v>236.25</v>
      </c>
      <c r="G16" s="46">
        <f>242*1.05</f>
        <v>254.10000000000002</v>
      </c>
      <c r="H16" s="46">
        <f>262*1.05</f>
        <v>275.10000000000002</v>
      </c>
      <c r="I16" s="46">
        <f>287*1.05</f>
        <v>301.35000000000002</v>
      </c>
      <c r="J16" s="46">
        <f>314*1.05</f>
        <v>329.7</v>
      </c>
      <c r="K16" s="46">
        <f>401*1.05</f>
        <v>421.05</v>
      </c>
      <c r="L16" s="46">
        <f>481*1.05</f>
        <v>505.05</v>
      </c>
      <c r="M16" s="12"/>
    </row>
    <row r="17" spans="1:13" ht="21" x14ac:dyDescent="0.35">
      <c r="A17" s="32" t="s">
        <v>63</v>
      </c>
      <c r="B17" s="9" t="s">
        <v>76</v>
      </c>
      <c r="M17" s="10"/>
    </row>
    <row r="18" spans="1:13" ht="18.75" x14ac:dyDescent="0.3">
      <c r="B18" s="86" t="s">
        <v>0</v>
      </c>
      <c r="C18" s="51" t="s">
        <v>31</v>
      </c>
      <c r="D18" s="51" t="s">
        <v>57</v>
      </c>
      <c r="E18" s="51" t="s">
        <v>1</v>
      </c>
      <c r="F18" s="52" t="s">
        <v>2</v>
      </c>
      <c r="G18" s="52" t="s">
        <v>3</v>
      </c>
      <c r="H18" s="52" t="s">
        <v>4</v>
      </c>
      <c r="I18" s="52" t="s">
        <v>5</v>
      </c>
      <c r="J18" s="52" t="s">
        <v>6</v>
      </c>
      <c r="K18" s="52" t="s">
        <v>7</v>
      </c>
      <c r="L18" s="52" t="s">
        <v>92</v>
      </c>
      <c r="M18" s="10"/>
    </row>
    <row r="19" spans="1:13" ht="18.75" x14ac:dyDescent="0.3">
      <c r="B19" s="87"/>
      <c r="C19" s="53" t="s">
        <v>41</v>
      </c>
      <c r="D19" s="53" t="s">
        <v>58</v>
      </c>
      <c r="E19" s="53" t="s">
        <v>42</v>
      </c>
      <c r="F19" s="54" t="s">
        <v>43</v>
      </c>
      <c r="G19" s="54" t="s">
        <v>32</v>
      </c>
      <c r="H19" s="54" t="s">
        <v>9</v>
      </c>
      <c r="I19" s="54" t="s">
        <v>82</v>
      </c>
      <c r="J19" s="54" t="s">
        <v>44</v>
      </c>
      <c r="K19" s="54" t="s">
        <v>80</v>
      </c>
      <c r="L19" s="54" t="s">
        <v>93</v>
      </c>
      <c r="M19" s="11"/>
    </row>
    <row r="20" spans="1:13" ht="18.75" x14ac:dyDescent="0.3">
      <c r="B20" s="45" t="s">
        <v>51</v>
      </c>
      <c r="C20" s="46">
        <f>615*1.05</f>
        <v>645.75</v>
      </c>
      <c r="D20" s="46">
        <f>664*1.05</f>
        <v>697.2</v>
      </c>
      <c r="E20" s="46">
        <f>720*1.05</f>
        <v>756</v>
      </c>
      <c r="F20" s="46">
        <f>731*1.05</f>
        <v>767.55000000000007</v>
      </c>
      <c r="G20" s="46">
        <f>779*1.05</f>
        <v>817.95</v>
      </c>
      <c r="H20" s="46">
        <f>856*1.05</f>
        <v>898.80000000000007</v>
      </c>
      <c r="I20" s="46">
        <f>915*1.05</f>
        <v>960.75</v>
      </c>
      <c r="J20" s="46">
        <f>1017*1.05</f>
        <v>1067.8500000000001</v>
      </c>
      <c r="K20" s="46">
        <f>1346*1.05</f>
        <v>1413.3</v>
      </c>
      <c r="L20" s="46">
        <f>1615*1.05</f>
        <v>1695.75</v>
      </c>
      <c r="M20" s="10"/>
    </row>
    <row r="21" spans="1:13" ht="18.75" x14ac:dyDescent="0.3">
      <c r="B21" s="45" t="s">
        <v>52</v>
      </c>
      <c r="C21" s="46">
        <f>403*1.05</f>
        <v>423.15000000000003</v>
      </c>
      <c r="D21" s="46">
        <f>434*1.05</f>
        <v>455.70000000000005</v>
      </c>
      <c r="E21" s="46">
        <f>451*1.05</f>
        <v>473.55</v>
      </c>
      <c r="F21" s="46">
        <f>475*1.05</f>
        <v>498.75</v>
      </c>
      <c r="G21" s="46">
        <f>512*1.05</f>
        <v>537.6</v>
      </c>
      <c r="H21" s="46">
        <f>557*1.05</f>
        <v>584.85</v>
      </c>
      <c r="I21" s="46">
        <f>595*1.05</f>
        <v>624.75</v>
      </c>
      <c r="J21" s="46">
        <f>660*1.05</f>
        <v>693</v>
      </c>
      <c r="K21" s="46">
        <f>882*1.05</f>
        <v>926.1</v>
      </c>
      <c r="L21" s="46">
        <f>1058*1.05</f>
        <v>1110.9000000000001</v>
      </c>
      <c r="M21" s="10"/>
    </row>
    <row r="22" spans="1:13" ht="18.75" x14ac:dyDescent="0.3">
      <c r="B22" s="45" t="s">
        <v>62</v>
      </c>
      <c r="C22" s="46">
        <f>249*1.05</f>
        <v>261.45</v>
      </c>
      <c r="D22" s="46">
        <f>265*1.05</f>
        <v>278.25</v>
      </c>
      <c r="E22" s="46">
        <f>276*1.05</f>
        <v>289.8</v>
      </c>
      <c r="F22" s="46">
        <f>293*1.05</f>
        <v>307.65000000000003</v>
      </c>
      <c r="G22" s="46">
        <f>311*1.05</f>
        <v>326.55</v>
      </c>
      <c r="H22" s="46">
        <f>344*1.05</f>
        <v>361.2</v>
      </c>
      <c r="I22" s="46">
        <f>370*1.05</f>
        <v>388.5</v>
      </c>
      <c r="J22" s="46">
        <f>426*1.05</f>
        <v>447.3</v>
      </c>
      <c r="K22" s="46">
        <f>544*1.05</f>
        <v>571.20000000000005</v>
      </c>
      <c r="L22" s="46">
        <f>653*1.05</f>
        <v>685.65</v>
      </c>
      <c r="M22" s="10"/>
    </row>
    <row r="23" spans="1:13" ht="21" x14ac:dyDescent="0.35">
      <c r="A23" s="32" t="s">
        <v>65</v>
      </c>
      <c r="B23" s="9" t="s">
        <v>77</v>
      </c>
      <c r="M23" s="10"/>
    </row>
    <row r="24" spans="1:13" ht="18.75" x14ac:dyDescent="0.3">
      <c r="B24" s="44" t="s">
        <v>0</v>
      </c>
      <c r="C24" s="44" t="s">
        <v>31</v>
      </c>
      <c r="D24" s="44" t="s">
        <v>57</v>
      </c>
      <c r="E24" s="44" t="s">
        <v>1</v>
      </c>
      <c r="F24" s="44" t="s">
        <v>2</v>
      </c>
      <c r="G24" s="44" t="s">
        <v>3</v>
      </c>
      <c r="H24" s="44" t="s">
        <v>4</v>
      </c>
      <c r="I24" s="44" t="s">
        <v>5</v>
      </c>
      <c r="J24" s="44" t="s">
        <v>6</v>
      </c>
      <c r="K24" s="44" t="s">
        <v>7</v>
      </c>
      <c r="L24" s="44" t="s">
        <v>92</v>
      </c>
      <c r="M24" s="10"/>
    </row>
    <row r="25" spans="1:13" ht="18.75" x14ac:dyDescent="0.3">
      <c r="B25" s="55" t="s">
        <v>96</v>
      </c>
      <c r="C25" s="46">
        <f>759*1.05</f>
        <v>796.95</v>
      </c>
      <c r="D25" s="46">
        <f>837*1.05</f>
        <v>878.85</v>
      </c>
      <c r="E25" s="46">
        <f>889*1.05</f>
        <v>933.45</v>
      </c>
      <c r="F25" s="46">
        <f>953*1.05</f>
        <v>1000.6500000000001</v>
      </c>
      <c r="G25" s="46">
        <f>1005*1.05</f>
        <v>1055.25</v>
      </c>
      <c r="H25" s="46">
        <f>1110*1.05</f>
        <v>1165.5</v>
      </c>
      <c r="I25" s="46">
        <f>1250*1.05</f>
        <v>1312.5</v>
      </c>
      <c r="J25" s="46">
        <f>1413*1.05</f>
        <v>1483.65</v>
      </c>
      <c r="K25" s="46">
        <f>1669*1.05</f>
        <v>1752.45</v>
      </c>
      <c r="L25" s="46">
        <f>2003*1.05</f>
        <v>2103.15</v>
      </c>
      <c r="M25" s="10"/>
    </row>
    <row r="26" spans="1:13" ht="21" x14ac:dyDescent="0.35">
      <c r="A26" s="4"/>
      <c r="B26" s="85" t="s">
        <v>16</v>
      </c>
      <c r="C26" s="85"/>
      <c r="D26" s="1"/>
      <c r="E26" s="1"/>
      <c r="F26" s="1"/>
      <c r="G26" s="1"/>
      <c r="H26" s="1"/>
      <c r="I26" s="1"/>
      <c r="J26" s="1"/>
      <c r="K26" s="1"/>
      <c r="L26" s="1"/>
    </row>
    <row r="27" spans="1:13" ht="18.75" x14ac:dyDescent="0.3">
      <c r="A27" s="1"/>
      <c r="B27" s="51"/>
      <c r="C27" s="51" t="s">
        <v>31</v>
      </c>
      <c r="D27" s="51" t="s">
        <v>57</v>
      </c>
      <c r="E27" s="51" t="s">
        <v>1</v>
      </c>
      <c r="F27" s="52" t="s">
        <v>2</v>
      </c>
      <c r="G27" s="52" t="s">
        <v>3</v>
      </c>
      <c r="H27" s="52" t="s">
        <v>4</v>
      </c>
      <c r="I27" s="52" t="s">
        <v>5</v>
      </c>
      <c r="J27" s="52" t="s">
        <v>6</v>
      </c>
      <c r="K27" s="52" t="s">
        <v>7</v>
      </c>
      <c r="L27" s="52" t="s">
        <v>92</v>
      </c>
    </row>
    <row r="28" spans="1:13" ht="18.75" x14ac:dyDescent="0.3">
      <c r="A28" s="1"/>
      <c r="B28" s="56"/>
      <c r="C28" s="53" t="s">
        <v>41</v>
      </c>
      <c r="D28" s="53" t="s">
        <v>58</v>
      </c>
      <c r="E28" s="53" t="s">
        <v>42</v>
      </c>
      <c r="F28" s="54" t="s">
        <v>43</v>
      </c>
      <c r="G28" s="54" t="s">
        <v>32</v>
      </c>
      <c r="H28" s="54" t="s">
        <v>9</v>
      </c>
      <c r="I28" s="54" t="s">
        <v>10</v>
      </c>
      <c r="J28" s="54" t="s">
        <v>44</v>
      </c>
      <c r="K28" s="54" t="s">
        <v>80</v>
      </c>
      <c r="L28" s="54" t="s">
        <v>93</v>
      </c>
    </row>
    <row r="29" spans="1:13" ht="18.75" x14ac:dyDescent="0.3">
      <c r="B29" s="57" t="s">
        <v>17</v>
      </c>
      <c r="C29" s="58">
        <f>236*1.05</f>
        <v>247.8</v>
      </c>
      <c r="D29" s="59">
        <f>244*1.05</f>
        <v>256.2</v>
      </c>
      <c r="E29" s="59">
        <f>258*1.05</f>
        <v>270.90000000000003</v>
      </c>
      <c r="F29" s="59">
        <f>283*1.05</f>
        <v>297.15000000000003</v>
      </c>
      <c r="G29" s="59">
        <f>312*1.05</f>
        <v>327.60000000000002</v>
      </c>
      <c r="H29" s="59">
        <f>358*1.05</f>
        <v>375.90000000000003</v>
      </c>
      <c r="I29" s="59">
        <f>401*1.05</f>
        <v>421.05</v>
      </c>
      <c r="J29" s="59">
        <f>474*1.05</f>
        <v>497.70000000000005</v>
      </c>
      <c r="K29" s="59">
        <f>569*1.05</f>
        <v>597.45000000000005</v>
      </c>
      <c r="L29" s="59">
        <f>683*1.05</f>
        <v>717.15</v>
      </c>
    </row>
    <row r="30" spans="1:13" ht="18.75" x14ac:dyDescent="0.3">
      <c r="B30" s="57" t="s">
        <v>18</v>
      </c>
      <c r="C30" s="58">
        <f>307*1.05</f>
        <v>322.35000000000002</v>
      </c>
      <c r="D30" s="59">
        <f>320*1.05</f>
        <v>336</v>
      </c>
      <c r="E30" s="59">
        <f>332*1.05</f>
        <v>348.6</v>
      </c>
      <c r="F30" s="59">
        <f>364*1.05</f>
        <v>382.2</v>
      </c>
      <c r="G30" s="59">
        <f>396*1.05</f>
        <v>415.8</v>
      </c>
      <c r="H30" s="59">
        <f>459*1.05</f>
        <v>481.95000000000005</v>
      </c>
      <c r="I30" s="59">
        <f>525*1.05</f>
        <v>551.25</v>
      </c>
      <c r="J30" s="59">
        <f>584*1.05</f>
        <v>613.20000000000005</v>
      </c>
      <c r="K30" s="59">
        <f>701*1.05</f>
        <v>736.05000000000007</v>
      </c>
      <c r="L30" s="59">
        <f>841*1.05</f>
        <v>883.05000000000007</v>
      </c>
    </row>
    <row r="31" spans="1:13" ht="21" x14ac:dyDescent="0.35">
      <c r="A31" s="4"/>
      <c r="B31" s="9" t="s">
        <v>19</v>
      </c>
    </row>
    <row r="32" spans="1:13" ht="18.75" x14ac:dyDescent="0.3">
      <c r="B32" s="51"/>
      <c r="C32" s="51" t="s">
        <v>31</v>
      </c>
      <c r="D32" s="51" t="s">
        <v>57</v>
      </c>
      <c r="E32" s="51" t="s">
        <v>1</v>
      </c>
      <c r="F32" s="52" t="s">
        <v>2</v>
      </c>
      <c r="G32" s="52" t="s">
        <v>3</v>
      </c>
      <c r="H32" s="52" t="s">
        <v>4</v>
      </c>
      <c r="I32" s="52" t="s">
        <v>5</v>
      </c>
      <c r="J32" s="52" t="s">
        <v>6</v>
      </c>
      <c r="K32" s="52" t="s">
        <v>7</v>
      </c>
      <c r="L32" s="52" t="s">
        <v>92</v>
      </c>
    </row>
    <row r="33" spans="1:12" ht="18.75" x14ac:dyDescent="0.3">
      <c r="B33" s="57" t="s">
        <v>60</v>
      </c>
      <c r="C33" s="60">
        <f>294*1.05</f>
        <v>308.7</v>
      </c>
      <c r="D33" s="60">
        <f>330*1.05</f>
        <v>346.5</v>
      </c>
      <c r="E33" s="60">
        <f>335*1.05</f>
        <v>351.75</v>
      </c>
      <c r="F33" s="60">
        <f>344*1.05</f>
        <v>361.2</v>
      </c>
      <c r="G33" s="60">
        <f>361*1.05</f>
        <v>379.05</v>
      </c>
      <c r="H33" s="60">
        <f>400*1.05</f>
        <v>420</v>
      </c>
      <c r="I33" s="60">
        <f>452*1.05</f>
        <v>474.6</v>
      </c>
      <c r="J33" s="60">
        <f>513*1.05</f>
        <v>538.65</v>
      </c>
      <c r="K33" s="60">
        <f>670*1.05</f>
        <v>703.5</v>
      </c>
      <c r="L33" s="60">
        <f>804*1.05</f>
        <v>844.2</v>
      </c>
    </row>
    <row r="34" spans="1:12" ht="21" x14ac:dyDescent="0.35">
      <c r="A34" s="4"/>
      <c r="B34" s="9" t="s">
        <v>20</v>
      </c>
    </row>
    <row r="35" spans="1:12" ht="18.75" x14ac:dyDescent="0.3">
      <c r="B35" s="51"/>
      <c r="C35" s="51" t="s">
        <v>31</v>
      </c>
      <c r="D35" s="51" t="s">
        <v>57</v>
      </c>
      <c r="E35" s="51" t="s">
        <v>1</v>
      </c>
      <c r="F35" s="52" t="s">
        <v>2</v>
      </c>
      <c r="G35" s="52" t="s">
        <v>3</v>
      </c>
      <c r="H35" s="52" t="s">
        <v>4</v>
      </c>
      <c r="I35" s="52" t="s">
        <v>5</v>
      </c>
      <c r="J35" s="52" t="s">
        <v>6</v>
      </c>
      <c r="K35" s="52" t="s">
        <v>7</v>
      </c>
      <c r="L35" s="52" t="s">
        <v>92</v>
      </c>
    </row>
    <row r="36" spans="1:12" ht="18.75" x14ac:dyDescent="0.3">
      <c r="B36" s="57" t="s">
        <v>21</v>
      </c>
      <c r="C36" s="58">
        <f>74*1.05</f>
        <v>77.7</v>
      </c>
      <c r="D36" s="59">
        <f>76*1.05</f>
        <v>79.8</v>
      </c>
      <c r="E36" s="60">
        <f>82*1.05</f>
        <v>86.100000000000009</v>
      </c>
      <c r="F36" s="60">
        <f>85*1.05</f>
        <v>89.25</v>
      </c>
      <c r="G36" s="60">
        <f>86*1.05</f>
        <v>90.3</v>
      </c>
      <c r="H36" s="60">
        <f>102*1.05</f>
        <v>107.10000000000001</v>
      </c>
      <c r="I36" s="60">
        <f>109*1.05</f>
        <v>114.45</v>
      </c>
      <c r="J36" s="60">
        <f>114*1.05</f>
        <v>119.7</v>
      </c>
      <c r="K36" s="60">
        <f>139*1.05</f>
        <v>145.95000000000002</v>
      </c>
      <c r="L36" s="60">
        <f>167*1.05</f>
        <v>175.35</v>
      </c>
    </row>
    <row r="37" spans="1:12" ht="18.75" x14ac:dyDescent="0.3">
      <c r="B37" s="57" t="s">
        <v>22</v>
      </c>
      <c r="C37" s="58">
        <f>147*1.05</f>
        <v>154.35</v>
      </c>
      <c r="D37" s="59">
        <f>152*1.05</f>
        <v>159.6</v>
      </c>
      <c r="E37" s="60">
        <f>164*1.05</f>
        <v>172.20000000000002</v>
      </c>
      <c r="F37" s="60">
        <f>169*1.05</f>
        <v>177.45000000000002</v>
      </c>
      <c r="G37" s="60">
        <f>172*1.05</f>
        <v>180.6</v>
      </c>
      <c r="H37" s="60">
        <f>204*1.05</f>
        <v>214.20000000000002</v>
      </c>
      <c r="I37" s="60">
        <f>218*1.05</f>
        <v>228.9</v>
      </c>
      <c r="J37" s="60">
        <f>228*1.05</f>
        <v>239.4</v>
      </c>
      <c r="K37" s="60">
        <f>278*1.05</f>
        <v>291.90000000000003</v>
      </c>
      <c r="L37" s="60">
        <f>334*1.05</f>
        <v>350.7</v>
      </c>
    </row>
    <row r="38" spans="1:12" ht="21" x14ac:dyDescent="0.35">
      <c r="B38" s="9" t="s">
        <v>28</v>
      </c>
    </row>
    <row r="39" spans="1:12" ht="18.75" x14ac:dyDescent="0.3">
      <c r="B39" s="50" t="s">
        <v>29</v>
      </c>
      <c r="C39" s="52" t="s">
        <v>2</v>
      </c>
      <c r="D39" s="52" t="s">
        <v>4</v>
      </c>
      <c r="E39" s="52" t="s">
        <v>5</v>
      </c>
      <c r="F39" s="52" t="s">
        <v>84</v>
      </c>
      <c r="G39" s="52" t="s">
        <v>6</v>
      </c>
      <c r="H39" s="52" t="s">
        <v>85</v>
      </c>
      <c r="I39" s="52" t="s">
        <v>86</v>
      </c>
      <c r="J39" s="52" t="s">
        <v>87</v>
      </c>
      <c r="K39" s="52" t="s">
        <v>8</v>
      </c>
      <c r="L39" s="52" t="s">
        <v>95</v>
      </c>
    </row>
    <row r="40" spans="1:12" ht="18.75" x14ac:dyDescent="0.3">
      <c r="B40" s="61" t="s">
        <v>79</v>
      </c>
      <c r="C40" s="60">
        <f>334*1.05</f>
        <v>350.7</v>
      </c>
      <c r="D40" s="60">
        <f>396*1.05</f>
        <v>415.8</v>
      </c>
      <c r="E40" s="60">
        <f>426*1.05</f>
        <v>447.3</v>
      </c>
      <c r="F40" s="60">
        <f>430*1.05</f>
        <v>451.5</v>
      </c>
      <c r="G40" s="60">
        <f>469*1.05</f>
        <v>492.45000000000005</v>
      </c>
      <c r="H40" s="60">
        <f>508*1.05</f>
        <v>533.4</v>
      </c>
      <c r="I40" s="60">
        <f>551*1.05</f>
        <v>578.55000000000007</v>
      </c>
      <c r="J40" s="60">
        <f>614*1.05</f>
        <v>644.70000000000005</v>
      </c>
      <c r="K40" s="60">
        <f>678*1.05</f>
        <v>711.9</v>
      </c>
      <c r="L40" s="60">
        <f>784*1.05</f>
        <v>823.2</v>
      </c>
    </row>
    <row r="41" spans="1:12" ht="18.75" x14ac:dyDescent="0.3">
      <c r="B41" s="62" t="s">
        <v>83</v>
      </c>
      <c r="C41" s="63">
        <f>514*1.05</f>
        <v>539.70000000000005</v>
      </c>
      <c r="D41" s="63">
        <f>609*1.05</f>
        <v>639.45000000000005</v>
      </c>
      <c r="E41" s="63">
        <f>655*1.05</f>
        <v>687.75</v>
      </c>
      <c r="F41" s="63">
        <f>662*1.05</f>
        <v>695.1</v>
      </c>
      <c r="G41" s="63">
        <f>721*1.05</f>
        <v>757.05000000000007</v>
      </c>
      <c r="H41" s="63">
        <f>782*1.05</f>
        <v>821.1</v>
      </c>
      <c r="I41" s="63">
        <f>847*1.05</f>
        <v>889.35</v>
      </c>
      <c r="J41" s="63">
        <f>945*1.05</f>
        <v>992.25</v>
      </c>
      <c r="K41" s="63">
        <f>1043*1.05</f>
        <v>1095.1500000000001</v>
      </c>
      <c r="L41" s="63">
        <f>1206*1.05</f>
        <v>1266.3</v>
      </c>
    </row>
    <row r="42" spans="1:12" ht="21" x14ac:dyDescent="0.35">
      <c r="A42" s="32" t="s">
        <v>65</v>
      </c>
      <c r="B42" s="9" t="s">
        <v>78</v>
      </c>
    </row>
    <row r="43" spans="1:12" ht="18.75" x14ac:dyDescent="0.3">
      <c r="B43" s="50" t="s">
        <v>30</v>
      </c>
      <c r="C43" s="51" t="s">
        <v>31</v>
      </c>
      <c r="D43" s="64" t="s">
        <v>57</v>
      </c>
      <c r="E43" s="51" t="s">
        <v>1</v>
      </c>
      <c r="F43" s="52" t="s">
        <v>2</v>
      </c>
      <c r="G43" s="52" t="s">
        <v>3</v>
      </c>
      <c r="H43" s="52" t="s">
        <v>4</v>
      </c>
      <c r="I43" s="52" t="s">
        <v>5</v>
      </c>
      <c r="J43" s="52" t="s">
        <v>6</v>
      </c>
      <c r="K43" s="52" t="s">
        <v>7</v>
      </c>
      <c r="L43" s="52" t="s">
        <v>92</v>
      </c>
    </row>
    <row r="44" spans="1:12" ht="18.75" x14ac:dyDescent="0.3">
      <c r="B44" s="65" t="s">
        <v>107</v>
      </c>
      <c r="C44" s="46">
        <f>713*1.05</f>
        <v>748.65</v>
      </c>
      <c r="D44" s="46">
        <f>724*1.05</f>
        <v>760.2</v>
      </c>
      <c r="E44" s="46">
        <f>739*1.05</f>
        <v>775.95</v>
      </c>
      <c r="F44" s="46">
        <f>753*1.05</f>
        <v>790.65</v>
      </c>
      <c r="G44" s="46">
        <f>766*1.05</f>
        <v>804.30000000000007</v>
      </c>
      <c r="H44" s="46">
        <f>792*1.05</f>
        <v>831.6</v>
      </c>
      <c r="I44" s="46">
        <f>829*1.05</f>
        <v>870.45</v>
      </c>
      <c r="J44" s="46">
        <f>924*1.05</f>
        <v>970.2</v>
      </c>
      <c r="K44" s="46">
        <f>1041*1.05</f>
        <v>1093.05</v>
      </c>
      <c r="L44" s="46">
        <f>1249*1.05</f>
        <v>1311.45</v>
      </c>
    </row>
    <row r="46" spans="1:12" ht="21" x14ac:dyDescent="0.35">
      <c r="B46" s="34" t="s">
        <v>81</v>
      </c>
      <c r="E46" s="73" t="s">
        <v>108</v>
      </c>
    </row>
  </sheetData>
  <mergeCells count="16">
    <mergeCell ref="N14:S14"/>
    <mergeCell ref="N12:S12"/>
    <mergeCell ref="N13:S13"/>
    <mergeCell ref="N6:S7"/>
    <mergeCell ref="B26:C26"/>
    <mergeCell ref="B12:B13"/>
    <mergeCell ref="B18:B19"/>
    <mergeCell ref="B7:H7"/>
    <mergeCell ref="G3:J3"/>
    <mergeCell ref="B3:F3"/>
    <mergeCell ref="B4:E4"/>
    <mergeCell ref="D6:K6"/>
    <mergeCell ref="N8:S8"/>
    <mergeCell ref="N9:S9"/>
    <mergeCell ref="G2:J2"/>
    <mergeCell ref="N10:S10"/>
  </mergeCells>
  <pageMargins left="0.23622047244094491" right="0.23622047244094491" top="0.39370078740157483" bottom="0.39370078740157483" header="0.31496062992125984" footer="0.31496062992125984"/>
  <pageSetup paperSize="9" scale="5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Normal="100" workbookViewId="0">
      <selection activeCell="D3" sqref="D3"/>
    </sheetView>
  </sheetViews>
  <sheetFormatPr defaultRowHeight="15" x14ac:dyDescent="0.25"/>
  <cols>
    <col min="1" max="1" width="14.28515625" customWidth="1"/>
    <col min="2" max="2" width="9.140625" customWidth="1"/>
    <col min="3" max="3" width="15.5703125" customWidth="1"/>
    <col min="4" max="5" width="8.5703125" customWidth="1"/>
    <col min="6" max="6" width="8.7109375" customWidth="1"/>
    <col min="7" max="7" width="9" customWidth="1"/>
    <col min="8" max="8" width="8.7109375" customWidth="1"/>
    <col min="9" max="9" width="9" customWidth="1"/>
    <col min="10" max="10" width="8.85546875" customWidth="1"/>
    <col min="11" max="11" width="9.140625" customWidth="1"/>
    <col min="12" max="12" width="8.7109375" customWidth="1"/>
    <col min="13" max="13" width="9.140625" customWidth="1"/>
  </cols>
  <sheetData>
    <row r="1" spans="1:13" ht="18.75" x14ac:dyDescent="0.3">
      <c r="A1" s="4"/>
      <c r="C1" s="4"/>
      <c r="F1" s="8"/>
      <c r="G1" s="8"/>
      <c r="H1" s="8"/>
    </row>
    <row r="2" spans="1:13" ht="26.25" x14ac:dyDescent="0.4">
      <c r="A2" s="4"/>
      <c r="B2" s="9"/>
      <c r="C2" s="4"/>
      <c r="F2" s="8"/>
      <c r="G2" s="40" t="s">
        <v>53</v>
      </c>
      <c r="H2" s="40"/>
      <c r="I2" s="40"/>
      <c r="J2" s="40"/>
      <c r="K2" s="42" t="s">
        <v>106</v>
      </c>
      <c r="L2" s="42"/>
      <c r="M2" s="42"/>
    </row>
    <row r="3" spans="1:13" ht="23.25" x14ac:dyDescent="0.35">
      <c r="A3" s="4"/>
      <c r="B3" s="39"/>
      <c r="C3" s="39"/>
      <c r="D3" s="39"/>
      <c r="E3" s="39"/>
      <c r="F3" s="8"/>
      <c r="G3" s="41" t="s">
        <v>67</v>
      </c>
      <c r="H3" s="41"/>
      <c r="I3" s="41"/>
      <c r="J3" s="41"/>
    </row>
    <row r="4" spans="1:13" ht="23.25" x14ac:dyDescent="0.35">
      <c r="A4" s="4"/>
      <c r="B4" s="39"/>
      <c r="C4" s="39"/>
      <c r="D4" s="39"/>
      <c r="E4" s="39"/>
      <c r="F4" s="8"/>
      <c r="G4" s="41"/>
      <c r="H4" s="41"/>
      <c r="I4" s="41"/>
      <c r="J4" s="41"/>
    </row>
    <row r="5" spans="1:13" ht="23.25" x14ac:dyDescent="0.35">
      <c r="A5" s="4"/>
      <c r="B5" s="39"/>
      <c r="C5" s="39"/>
      <c r="D5" s="39"/>
      <c r="E5" s="39"/>
      <c r="F5" s="8"/>
      <c r="G5" s="41"/>
      <c r="H5" s="41"/>
      <c r="I5" s="41"/>
      <c r="J5" s="41"/>
    </row>
    <row r="6" spans="1:13" ht="21" x14ac:dyDescent="0.35">
      <c r="A6" s="4"/>
      <c r="C6" s="4"/>
      <c r="D6" s="5"/>
      <c r="E6" s="102" t="s">
        <v>99</v>
      </c>
      <c r="F6" s="102"/>
      <c r="G6" s="102"/>
      <c r="H6" s="102"/>
      <c r="I6" s="102"/>
      <c r="J6" s="102"/>
      <c r="K6" s="102"/>
    </row>
    <row r="7" spans="1:13" ht="21" x14ac:dyDescent="0.35">
      <c r="A7" s="32" t="s">
        <v>65</v>
      </c>
      <c r="B7" s="9" t="s">
        <v>68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93"/>
      <c r="B8" s="94" t="s">
        <v>11</v>
      </c>
      <c r="C8" s="95"/>
      <c r="D8" s="21" t="s">
        <v>31</v>
      </c>
      <c r="E8" s="26" t="s">
        <v>57</v>
      </c>
      <c r="F8" s="21" t="s">
        <v>1</v>
      </c>
      <c r="G8" s="22" t="s">
        <v>2</v>
      </c>
      <c r="H8" s="22" t="s">
        <v>3</v>
      </c>
      <c r="I8" s="22" t="s">
        <v>4</v>
      </c>
      <c r="J8" s="22" t="s">
        <v>5</v>
      </c>
      <c r="K8" s="22" t="s">
        <v>6</v>
      </c>
      <c r="L8" s="22" t="s">
        <v>7</v>
      </c>
      <c r="M8" s="13" t="s">
        <v>92</v>
      </c>
    </row>
    <row r="9" spans="1:13" x14ac:dyDescent="0.25">
      <c r="A9" s="93"/>
      <c r="B9" s="96" t="s">
        <v>46</v>
      </c>
      <c r="C9" s="97"/>
      <c r="D9" s="19">
        <f>174*1.05</f>
        <v>182.70000000000002</v>
      </c>
      <c r="E9" s="19">
        <f>190*1.05</f>
        <v>199.5</v>
      </c>
      <c r="F9" s="19">
        <f>213*1.05</f>
        <v>223.65</v>
      </c>
      <c r="G9" s="19">
        <f>220*1.05</f>
        <v>231</v>
      </c>
      <c r="H9" s="19">
        <f>275*1.05</f>
        <v>288.75</v>
      </c>
      <c r="I9" s="19">
        <f>278*1.05</f>
        <v>291.90000000000003</v>
      </c>
      <c r="J9" s="19">
        <f>293*1.05</f>
        <v>307.65000000000003</v>
      </c>
      <c r="K9" s="19">
        <f>309*1.05</f>
        <v>324.45</v>
      </c>
      <c r="L9" s="19">
        <f>371*1.05</f>
        <v>389.55</v>
      </c>
      <c r="M9" s="19">
        <f>445*1.05</f>
        <v>467.25</v>
      </c>
    </row>
    <row r="10" spans="1:13" x14ac:dyDescent="0.25">
      <c r="A10" s="93"/>
      <c r="B10" s="18" t="s">
        <v>45</v>
      </c>
      <c r="C10" s="18"/>
      <c r="D10" s="19">
        <f>104*1.05</f>
        <v>109.2</v>
      </c>
      <c r="E10" s="19">
        <f>109*1.05</f>
        <v>114.45</v>
      </c>
      <c r="F10" s="19">
        <f>113*1.05</f>
        <v>118.65</v>
      </c>
      <c r="G10" s="19">
        <f>122*1.05</f>
        <v>128.1</v>
      </c>
      <c r="H10" s="19">
        <f>137*1.05</f>
        <v>143.85</v>
      </c>
      <c r="I10" s="19">
        <f>139*1.05</f>
        <v>145.95000000000002</v>
      </c>
      <c r="J10" s="19">
        <f>149*1.05</f>
        <v>156.45000000000002</v>
      </c>
      <c r="K10" s="19">
        <f>165*1.05</f>
        <v>173.25</v>
      </c>
      <c r="L10" s="19">
        <f>198*1.05</f>
        <v>207.9</v>
      </c>
      <c r="M10" s="19">
        <f>238*1.05</f>
        <v>249.9</v>
      </c>
    </row>
    <row r="11" spans="1:13" ht="21" x14ac:dyDescent="0.35">
      <c r="A11" s="32" t="s">
        <v>64</v>
      </c>
      <c r="B11" s="33" t="s">
        <v>69</v>
      </c>
      <c r="C11" s="33"/>
      <c r="D11" s="33"/>
      <c r="E11" s="33"/>
      <c r="F11" s="33"/>
      <c r="G11" s="33"/>
      <c r="H11" s="33"/>
      <c r="I11" s="4"/>
      <c r="J11" s="4"/>
      <c r="K11" s="2"/>
      <c r="L11" s="2"/>
      <c r="M11" s="2"/>
    </row>
    <row r="12" spans="1:13" x14ac:dyDescent="0.25">
      <c r="A12" s="2"/>
      <c r="B12" s="98" t="s">
        <v>11</v>
      </c>
      <c r="C12" s="99"/>
      <c r="D12" s="14" t="s">
        <v>31</v>
      </c>
      <c r="E12" s="14" t="s">
        <v>57</v>
      </c>
      <c r="F12" s="14" t="s">
        <v>1</v>
      </c>
      <c r="G12" s="15" t="s">
        <v>2</v>
      </c>
      <c r="H12" s="15" t="s">
        <v>3</v>
      </c>
      <c r="I12" s="15" t="s">
        <v>4</v>
      </c>
      <c r="J12" s="15" t="s">
        <v>5</v>
      </c>
      <c r="K12" s="15" t="s">
        <v>6</v>
      </c>
      <c r="L12" s="15" t="s">
        <v>7</v>
      </c>
      <c r="M12" s="15" t="s">
        <v>92</v>
      </c>
    </row>
    <row r="13" spans="1:13" x14ac:dyDescent="0.25">
      <c r="A13" s="2"/>
      <c r="B13" s="100"/>
      <c r="C13" s="101"/>
      <c r="D13" s="16" t="s">
        <v>41</v>
      </c>
      <c r="E13" s="16" t="s">
        <v>58</v>
      </c>
      <c r="F13" s="16" t="s">
        <v>42</v>
      </c>
      <c r="G13" s="17" t="s">
        <v>43</v>
      </c>
      <c r="H13" s="17" t="s">
        <v>32</v>
      </c>
      <c r="I13" s="17" t="s">
        <v>9</v>
      </c>
      <c r="J13" s="17" t="s">
        <v>10</v>
      </c>
      <c r="K13" s="17" t="s">
        <v>44</v>
      </c>
      <c r="L13" s="17" t="s">
        <v>80</v>
      </c>
      <c r="M13" s="17" t="s">
        <v>93</v>
      </c>
    </row>
    <row r="14" spans="1:13" x14ac:dyDescent="0.25">
      <c r="A14" s="2"/>
      <c r="B14" s="96" t="s">
        <v>14</v>
      </c>
      <c r="C14" s="97"/>
      <c r="D14" s="20">
        <f>495*1.05</f>
        <v>519.75</v>
      </c>
      <c r="E14" s="20">
        <f>533*1.05</f>
        <v>559.65</v>
      </c>
      <c r="F14" s="20">
        <f>558*1.05</f>
        <v>585.9</v>
      </c>
      <c r="G14" s="20">
        <f>594*1.05</f>
        <v>623.70000000000005</v>
      </c>
      <c r="H14" s="20">
        <f>628*1.05</f>
        <v>659.4</v>
      </c>
      <c r="I14" s="20">
        <f>694*1.05</f>
        <v>728.7</v>
      </c>
      <c r="J14" s="20">
        <f>737*1.05</f>
        <v>773.85</v>
      </c>
      <c r="K14" s="20">
        <f>814*1.05</f>
        <v>854.7</v>
      </c>
      <c r="L14" s="20">
        <f>977*1.05</f>
        <v>1025.8500000000001</v>
      </c>
      <c r="M14" s="20">
        <f>1172*1.05</f>
        <v>1230.6000000000001</v>
      </c>
    </row>
    <row r="15" spans="1:13" x14ac:dyDescent="0.25">
      <c r="A15" s="2"/>
      <c r="B15" s="18" t="s">
        <v>12</v>
      </c>
      <c r="C15" s="18"/>
      <c r="D15" s="6">
        <f>263*1.05</f>
        <v>276.15000000000003</v>
      </c>
      <c r="E15" s="6">
        <f>287*1.05</f>
        <v>301.35000000000002</v>
      </c>
      <c r="F15" s="6">
        <f>307*1.05</f>
        <v>322.35000000000002</v>
      </c>
      <c r="G15" s="6">
        <f>308*1.05</f>
        <v>323.40000000000003</v>
      </c>
      <c r="H15" s="6">
        <f>315*1.05</f>
        <v>330.75</v>
      </c>
      <c r="I15" s="6">
        <f>325*1.05</f>
        <v>341.25</v>
      </c>
      <c r="J15" s="6">
        <f>331*1.05</f>
        <v>347.55</v>
      </c>
      <c r="K15" s="6">
        <f>345*1.05</f>
        <v>362.25</v>
      </c>
      <c r="L15" s="6">
        <f>414*1.05</f>
        <v>434.70000000000005</v>
      </c>
      <c r="M15" s="6">
        <f>497*1.05</f>
        <v>521.85</v>
      </c>
    </row>
    <row r="16" spans="1:13" ht="21" x14ac:dyDescent="0.35">
      <c r="A16" s="32" t="s">
        <v>63</v>
      </c>
      <c r="B16" s="9" t="s">
        <v>70</v>
      </c>
      <c r="C16" s="4"/>
      <c r="D16" s="4"/>
      <c r="E16" s="4"/>
      <c r="F16" s="4"/>
      <c r="G16" s="4"/>
      <c r="H16" s="4"/>
      <c r="I16" s="4"/>
      <c r="J16" s="4"/>
      <c r="K16" s="2"/>
      <c r="L16" s="2"/>
      <c r="M16" s="2"/>
    </row>
    <row r="17" spans="1:13" x14ac:dyDescent="0.25">
      <c r="A17" s="2"/>
      <c r="B17" s="98" t="s">
        <v>11</v>
      </c>
      <c r="C17" s="99"/>
      <c r="D17" s="14" t="s">
        <v>31</v>
      </c>
      <c r="E17" s="14" t="s">
        <v>57</v>
      </c>
      <c r="F17" s="14" t="s">
        <v>1</v>
      </c>
      <c r="G17" s="15" t="s">
        <v>2</v>
      </c>
      <c r="H17" s="15" t="s">
        <v>3</v>
      </c>
      <c r="I17" s="15" t="s">
        <v>4</v>
      </c>
      <c r="J17" s="15" t="s">
        <v>5</v>
      </c>
      <c r="K17" s="15" t="s">
        <v>6</v>
      </c>
      <c r="L17" s="15" t="s">
        <v>7</v>
      </c>
      <c r="M17" s="15" t="s">
        <v>92</v>
      </c>
    </row>
    <row r="18" spans="1:13" x14ac:dyDescent="0.25">
      <c r="A18" s="2"/>
      <c r="B18" s="100"/>
      <c r="C18" s="101"/>
      <c r="D18" s="16" t="s">
        <v>41</v>
      </c>
      <c r="E18" s="16" t="s">
        <v>58</v>
      </c>
      <c r="F18" s="16" t="s">
        <v>42</v>
      </c>
      <c r="G18" s="17" t="s">
        <v>43</v>
      </c>
      <c r="H18" s="17" t="s">
        <v>32</v>
      </c>
      <c r="I18" s="17" t="s">
        <v>9</v>
      </c>
      <c r="J18" s="17" t="s">
        <v>10</v>
      </c>
      <c r="K18" s="17" t="s">
        <v>44</v>
      </c>
      <c r="L18" s="17" t="s">
        <v>80</v>
      </c>
      <c r="M18" s="17" t="s">
        <v>93</v>
      </c>
    </row>
    <row r="19" spans="1:13" x14ac:dyDescent="0.25">
      <c r="A19" s="2"/>
      <c r="B19" s="96" t="s">
        <v>15</v>
      </c>
      <c r="C19" s="97"/>
      <c r="D19" s="20">
        <f>644*1.05</f>
        <v>676.2</v>
      </c>
      <c r="E19" s="20">
        <f>694*1.05</f>
        <v>728.7</v>
      </c>
      <c r="F19" s="20">
        <f>751*1.05</f>
        <v>788.55000000000007</v>
      </c>
      <c r="G19" s="20">
        <f>764*1.05</f>
        <v>802.2</v>
      </c>
      <c r="H19" s="20">
        <f>813*1.05</f>
        <v>853.65000000000009</v>
      </c>
      <c r="I19" s="20">
        <f>894*1.05</f>
        <v>938.7</v>
      </c>
      <c r="J19" s="20">
        <f>960*1.05</f>
        <v>1008</v>
      </c>
      <c r="K19" s="20">
        <f>1063*1.05</f>
        <v>1116.1500000000001</v>
      </c>
      <c r="L19" s="20">
        <f>1276*1.05</f>
        <v>1339.8</v>
      </c>
      <c r="M19" s="20">
        <f>1531*1.05</f>
        <v>1607.55</v>
      </c>
    </row>
    <row r="20" spans="1:13" x14ac:dyDescent="0.25">
      <c r="A20" s="2"/>
      <c r="B20" s="18" t="s">
        <v>13</v>
      </c>
      <c r="C20" s="18"/>
      <c r="D20" s="20">
        <f>340*1.05</f>
        <v>357</v>
      </c>
      <c r="E20" s="20">
        <f>370*1.05</f>
        <v>388.5</v>
      </c>
      <c r="F20" s="20">
        <f>391*1.05</f>
        <v>410.55</v>
      </c>
      <c r="G20" s="20">
        <f>397*1.05</f>
        <v>416.85</v>
      </c>
      <c r="H20" s="20">
        <f>413*1.05</f>
        <v>433.65000000000003</v>
      </c>
      <c r="I20" s="20">
        <f>419*1.05</f>
        <v>439.95000000000005</v>
      </c>
      <c r="J20" s="20">
        <f>427*1.05</f>
        <v>448.35</v>
      </c>
      <c r="K20" s="20">
        <f>451*1.05</f>
        <v>473.55</v>
      </c>
      <c r="L20" s="20">
        <f>541*1.05</f>
        <v>568.05000000000007</v>
      </c>
      <c r="M20" s="20">
        <f>649*1.05</f>
        <v>681.45</v>
      </c>
    </row>
    <row r="21" spans="1:13" ht="21" x14ac:dyDescent="0.35">
      <c r="A21" s="32" t="s">
        <v>65</v>
      </c>
      <c r="B21" s="9" t="s">
        <v>71</v>
      </c>
      <c r="C21" s="27"/>
      <c r="D21" s="28"/>
      <c r="E21" s="28"/>
      <c r="F21" s="28"/>
      <c r="G21" s="29"/>
      <c r="H21" s="29"/>
      <c r="I21" s="29"/>
      <c r="J21" s="29"/>
      <c r="K21" s="29"/>
      <c r="L21" s="29"/>
      <c r="M21" s="29"/>
    </row>
    <row r="22" spans="1:13" x14ac:dyDescent="0.25">
      <c r="A22" s="2"/>
      <c r="B22" s="94" t="s">
        <v>11</v>
      </c>
      <c r="C22" s="95"/>
      <c r="D22" s="30" t="s">
        <v>31</v>
      </c>
      <c r="E22" s="26" t="s">
        <v>57</v>
      </c>
      <c r="F22" s="26" t="s">
        <v>1</v>
      </c>
      <c r="G22" s="22" t="s">
        <v>2</v>
      </c>
      <c r="H22" s="22" t="s">
        <v>3</v>
      </c>
      <c r="I22" s="22" t="s">
        <v>4</v>
      </c>
      <c r="J22" s="22" t="s">
        <v>5</v>
      </c>
      <c r="K22" s="22" t="s">
        <v>6</v>
      </c>
      <c r="L22" s="22" t="s">
        <v>7</v>
      </c>
      <c r="M22" s="13" t="s">
        <v>92</v>
      </c>
    </row>
    <row r="23" spans="1:13" x14ac:dyDescent="0.25">
      <c r="A23" s="2"/>
      <c r="B23" s="96" t="s">
        <v>48</v>
      </c>
      <c r="C23" s="97"/>
      <c r="D23" s="19">
        <f>224*1.05</f>
        <v>235.20000000000002</v>
      </c>
      <c r="E23" s="19">
        <f>243*1.05</f>
        <v>255.15</v>
      </c>
      <c r="F23" s="19">
        <f>266*1.05</f>
        <v>279.3</v>
      </c>
      <c r="G23" s="19">
        <f>276*1.05</f>
        <v>289.8</v>
      </c>
      <c r="H23" s="19">
        <f>332*1.05</f>
        <v>348.6</v>
      </c>
      <c r="I23" s="19">
        <f>369*1.05</f>
        <v>387.45</v>
      </c>
      <c r="J23" s="19">
        <f>405*1.05</f>
        <v>425.25</v>
      </c>
      <c r="K23" s="19">
        <f>438*1.05</f>
        <v>459.90000000000003</v>
      </c>
      <c r="L23" s="19">
        <f>526*1.05</f>
        <v>552.30000000000007</v>
      </c>
      <c r="M23" s="19">
        <f>631*1.05</f>
        <v>662.55000000000007</v>
      </c>
    </row>
    <row r="24" spans="1:13" x14ac:dyDescent="0.25">
      <c r="A24" s="2"/>
      <c r="B24" s="18" t="s">
        <v>47</v>
      </c>
      <c r="C24" s="18"/>
      <c r="D24" s="19">
        <f>275*1.05</f>
        <v>288.75</v>
      </c>
      <c r="E24" s="19">
        <f>288*1.05</f>
        <v>302.40000000000003</v>
      </c>
      <c r="F24" s="19">
        <f>318*1.05</f>
        <v>333.90000000000003</v>
      </c>
      <c r="G24" s="19">
        <f>331*1.05</f>
        <v>347.55</v>
      </c>
      <c r="H24" s="19">
        <f>393*1.05</f>
        <v>412.65000000000003</v>
      </c>
      <c r="I24" s="19">
        <f>445*1.05</f>
        <v>467.25</v>
      </c>
      <c r="J24" s="19">
        <f>486*1.05</f>
        <v>510.3</v>
      </c>
      <c r="K24" s="19">
        <f>523*1.05</f>
        <v>549.15</v>
      </c>
      <c r="L24" s="19">
        <f>628*1.05</f>
        <v>659.4</v>
      </c>
      <c r="M24" s="19">
        <f>754*1.05</f>
        <v>791.7</v>
      </c>
    </row>
    <row r="25" spans="1:13" ht="21" x14ac:dyDescent="0.35">
      <c r="A25" s="32" t="s">
        <v>64</v>
      </c>
      <c r="B25" s="33" t="s">
        <v>72</v>
      </c>
      <c r="C25" s="33"/>
      <c r="D25" s="33"/>
      <c r="E25" s="33"/>
      <c r="F25" s="33"/>
      <c r="G25" s="33"/>
      <c r="H25" s="33"/>
      <c r="I25" s="33"/>
      <c r="J25" s="33"/>
      <c r="K25" s="33"/>
      <c r="L25" s="2"/>
      <c r="M25" s="2"/>
    </row>
    <row r="26" spans="1:13" x14ac:dyDescent="0.25">
      <c r="A26" s="2"/>
      <c r="B26" s="98" t="s">
        <v>11</v>
      </c>
      <c r="C26" s="99"/>
      <c r="D26" s="14" t="s">
        <v>31</v>
      </c>
      <c r="E26" s="14" t="s">
        <v>57</v>
      </c>
      <c r="F26" s="14" t="s">
        <v>1</v>
      </c>
      <c r="G26" s="15" t="s">
        <v>2</v>
      </c>
      <c r="H26" s="15" t="s">
        <v>3</v>
      </c>
      <c r="I26" s="15" t="s">
        <v>4</v>
      </c>
      <c r="J26" s="15" t="s">
        <v>5</v>
      </c>
      <c r="K26" s="15" t="s">
        <v>6</v>
      </c>
      <c r="L26" s="15" t="s">
        <v>7</v>
      </c>
      <c r="M26" s="15" t="s">
        <v>92</v>
      </c>
    </row>
    <row r="27" spans="1:13" x14ac:dyDescent="0.25">
      <c r="A27" s="2"/>
      <c r="B27" s="100"/>
      <c r="C27" s="101"/>
      <c r="D27" s="16" t="s">
        <v>41</v>
      </c>
      <c r="E27" s="16" t="s">
        <v>58</v>
      </c>
      <c r="F27" s="16" t="s">
        <v>42</v>
      </c>
      <c r="G27" s="17" t="s">
        <v>43</v>
      </c>
      <c r="H27" s="17" t="s">
        <v>32</v>
      </c>
      <c r="I27" s="17" t="s">
        <v>9</v>
      </c>
      <c r="J27" s="17" t="s">
        <v>10</v>
      </c>
      <c r="K27" s="17" t="s">
        <v>44</v>
      </c>
      <c r="L27" s="17" t="s">
        <v>80</v>
      </c>
      <c r="M27" s="17" t="s">
        <v>93</v>
      </c>
    </row>
    <row r="28" spans="1:13" x14ac:dyDescent="0.25">
      <c r="A28" s="2"/>
      <c r="B28" s="96" t="s">
        <v>25</v>
      </c>
      <c r="C28" s="97"/>
      <c r="D28" s="6">
        <f>506*1.05</f>
        <v>531.30000000000007</v>
      </c>
      <c r="E28" s="6">
        <f>543*1.05</f>
        <v>570.15</v>
      </c>
      <c r="F28" s="6">
        <f>566*1.05</f>
        <v>594.30000000000007</v>
      </c>
      <c r="G28" s="6">
        <f>604*1.05</f>
        <v>634.20000000000005</v>
      </c>
      <c r="H28" s="6">
        <f>652*1.05</f>
        <v>684.6</v>
      </c>
      <c r="I28" s="6">
        <f>706*1.05</f>
        <v>741.30000000000007</v>
      </c>
      <c r="J28" s="6">
        <f>757*1.05</f>
        <v>794.85</v>
      </c>
      <c r="K28" s="6">
        <f>857*1.05</f>
        <v>899.85</v>
      </c>
      <c r="L28" s="6">
        <f>1028*1.05</f>
        <v>1079.4000000000001</v>
      </c>
      <c r="M28" s="6">
        <f>1234*1.05</f>
        <v>1295.7</v>
      </c>
    </row>
    <row r="29" spans="1:13" x14ac:dyDescent="0.25">
      <c r="A29" s="2"/>
      <c r="B29" s="18" t="s">
        <v>24</v>
      </c>
      <c r="C29" s="18"/>
      <c r="D29" s="6">
        <f>607*1.05</f>
        <v>637.35</v>
      </c>
      <c r="E29" s="6">
        <f>661*1.05</f>
        <v>694.05000000000007</v>
      </c>
      <c r="F29" s="6">
        <f>675*1.05</f>
        <v>708.75</v>
      </c>
      <c r="G29" s="6">
        <f>722*1.05</f>
        <v>758.1</v>
      </c>
      <c r="H29" s="6">
        <f>777*1.05</f>
        <v>815.85</v>
      </c>
      <c r="I29" s="6">
        <f>847*1.05</f>
        <v>889.35</v>
      </c>
      <c r="J29" s="6">
        <f>910*1.05</f>
        <v>955.5</v>
      </c>
      <c r="K29" s="6">
        <f>1020*1.05</f>
        <v>1071</v>
      </c>
      <c r="L29" s="6">
        <f>1224*1.05</f>
        <v>1285.2</v>
      </c>
      <c r="M29" s="6">
        <f>1469*1.05</f>
        <v>1542.45</v>
      </c>
    </row>
    <row r="30" spans="1:13" ht="21" x14ac:dyDescent="0.35">
      <c r="A30" s="32" t="s">
        <v>63</v>
      </c>
      <c r="B30" s="33" t="s">
        <v>73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 x14ac:dyDescent="0.25">
      <c r="A31" s="2"/>
      <c r="B31" s="98" t="s">
        <v>11</v>
      </c>
      <c r="C31" s="99"/>
      <c r="D31" s="14" t="s">
        <v>31</v>
      </c>
      <c r="E31" s="14" t="s">
        <v>57</v>
      </c>
      <c r="F31" s="14" t="s">
        <v>1</v>
      </c>
      <c r="G31" s="15" t="s">
        <v>2</v>
      </c>
      <c r="H31" s="15" t="s">
        <v>3</v>
      </c>
      <c r="I31" s="15" t="s">
        <v>4</v>
      </c>
      <c r="J31" s="15" t="s">
        <v>5</v>
      </c>
      <c r="K31" s="15" t="s">
        <v>6</v>
      </c>
      <c r="L31" s="15" t="s">
        <v>7</v>
      </c>
      <c r="M31" s="15" t="s">
        <v>92</v>
      </c>
    </row>
    <row r="32" spans="1:13" x14ac:dyDescent="0.25">
      <c r="A32" s="2"/>
      <c r="B32" s="100"/>
      <c r="C32" s="101"/>
      <c r="D32" s="16" t="s">
        <v>41</v>
      </c>
      <c r="E32" s="16" t="s">
        <v>58</v>
      </c>
      <c r="F32" s="16" t="s">
        <v>42</v>
      </c>
      <c r="G32" s="17" t="s">
        <v>43</v>
      </c>
      <c r="H32" s="17" t="s">
        <v>32</v>
      </c>
      <c r="I32" s="17" t="s">
        <v>9</v>
      </c>
      <c r="J32" s="17" t="s">
        <v>10</v>
      </c>
      <c r="K32" s="17" t="s">
        <v>44</v>
      </c>
      <c r="L32" s="17" t="s">
        <v>80</v>
      </c>
      <c r="M32" s="17" t="s">
        <v>93</v>
      </c>
    </row>
    <row r="33" spans="1:13" x14ac:dyDescent="0.25">
      <c r="A33" s="2"/>
      <c r="B33" s="96" t="s">
        <v>27</v>
      </c>
      <c r="C33" s="97"/>
      <c r="D33" s="6">
        <f>652*1.05</f>
        <v>684.6</v>
      </c>
      <c r="E33" s="6">
        <f>706*1.05</f>
        <v>741.30000000000007</v>
      </c>
      <c r="F33" s="6">
        <f>734*1.05</f>
        <v>770.7</v>
      </c>
      <c r="G33" s="6">
        <f>777*1.05</f>
        <v>815.85</v>
      </c>
      <c r="H33" s="6">
        <f>845*1.05</f>
        <v>887.25</v>
      </c>
      <c r="I33" s="6">
        <f>919*1.05</f>
        <v>964.95</v>
      </c>
      <c r="J33" s="6">
        <f>986*1.05</f>
        <v>1035.3</v>
      </c>
      <c r="K33" s="6">
        <f>1105*1.05</f>
        <v>1160.25</v>
      </c>
      <c r="L33" s="6">
        <f>1326*1.05</f>
        <v>1392.3</v>
      </c>
      <c r="M33" s="6">
        <f>1591*1.05</f>
        <v>1670.5500000000002</v>
      </c>
    </row>
    <row r="34" spans="1:13" x14ac:dyDescent="0.25">
      <c r="A34" s="2"/>
      <c r="B34" s="18" t="s">
        <v>26</v>
      </c>
      <c r="C34" s="18"/>
      <c r="D34" s="6">
        <f>803*1.05</f>
        <v>843.15000000000009</v>
      </c>
      <c r="E34" s="6">
        <f>845*1.05</f>
        <v>887.25</v>
      </c>
      <c r="F34" s="6">
        <f>889*1.05</f>
        <v>933.45</v>
      </c>
      <c r="G34" s="6">
        <f>960*1.05</f>
        <v>1008</v>
      </c>
      <c r="H34" s="6">
        <f>1014*1.05</f>
        <v>1064.7</v>
      </c>
      <c r="I34" s="6">
        <f>1101*1.05</f>
        <v>1156.05</v>
      </c>
      <c r="J34" s="6">
        <f>1183*1.05</f>
        <v>1242.1500000000001</v>
      </c>
      <c r="K34" s="6">
        <f>1322*1.05</f>
        <v>1388.1000000000001</v>
      </c>
      <c r="L34" s="6">
        <f>1587*1.05</f>
        <v>1666.3500000000001</v>
      </c>
      <c r="M34" s="6">
        <f>1904*1.05</f>
        <v>1999.2</v>
      </c>
    </row>
    <row r="35" spans="1:13" ht="21" x14ac:dyDescent="0.35">
      <c r="A35" s="32" t="s">
        <v>65</v>
      </c>
      <c r="B35" s="85" t="s">
        <v>74</v>
      </c>
      <c r="C35" s="85"/>
      <c r="D35" s="85"/>
      <c r="E35" s="85"/>
      <c r="F35" s="85"/>
      <c r="G35" s="85"/>
      <c r="H35" s="85"/>
      <c r="I35" s="85"/>
      <c r="J35" s="85"/>
    </row>
    <row r="36" spans="1:13" x14ac:dyDescent="0.25">
      <c r="B36" s="94" t="s">
        <v>11</v>
      </c>
      <c r="C36" s="95"/>
      <c r="D36" s="21" t="s">
        <v>40</v>
      </c>
      <c r="E36" s="26" t="s">
        <v>59</v>
      </c>
      <c r="F36" s="21" t="s">
        <v>33</v>
      </c>
      <c r="G36" s="22" t="s">
        <v>34</v>
      </c>
      <c r="H36" s="22" t="s">
        <v>35</v>
      </c>
      <c r="I36" s="22" t="s">
        <v>36</v>
      </c>
      <c r="J36" s="22" t="s">
        <v>37</v>
      </c>
      <c r="K36" s="22" t="s">
        <v>38</v>
      </c>
      <c r="L36" s="22" t="s">
        <v>39</v>
      </c>
      <c r="M36" s="13" t="s">
        <v>94</v>
      </c>
    </row>
    <row r="37" spans="1:13" x14ac:dyDescent="0.25">
      <c r="B37" s="18" t="s">
        <v>23</v>
      </c>
      <c r="C37" s="18" t="s">
        <v>109</v>
      </c>
      <c r="D37" s="20">
        <f>810*0.8*1.05</f>
        <v>680.4</v>
      </c>
      <c r="E37" s="20">
        <f>876*0.8*1.05</f>
        <v>735.84000000000015</v>
      </c>
      <c r="F37" s="20">
        <f>945*0.8*1.05</f>
        <v>793.80000000000007</v>
      </c>
      <c r="G37" s="20">
        <f>1013*0.8*1.05</f>
        <v>850.92000000000019</v>
      </c>
      <c r="H37" s="20">
        <f>1080*0.8*1.05</f>
        <v>907.2</v>
      </c>
      <c r="I37" s="20">
        <f>1215*0.8*1.05</f>
        <v>1020.6</v>
      </c>
      <c r="J37" s="20">
        <f>1350*0.8*1.05</f>
        <v>1134</v>
      </c>
      <c r="K37" s="20">
        <f>1485*0.8*1.05</f>
        <v>1247.4000000000001</v>
      </c>
      <c r="L37" s="20">
        <f>1688*0.8*1.05</f>
        <v>1417.92</v>
      </c>
      <c r="M37" s="20">
        <f>1620*1.05</f>
        <v>1701</v>
      </c>
    </row>
    <row r="38" spans="1:13" ht="21" x14ac:dyDescent="0.35">
      <c r="B38" s="9" t="s">
        <v>91</v>
      </c>
    </row>
    <row r="39" spans="1:13" x14ac:dyDescent="0.25">
      <c r="B39" s="35"/>
      <c r="C39" s="38"/>
      <c r="D39" s="23" t="s">
        <v>31</v>
      </c>
      <c r="E39" s="14" t="s">
        <v>57</v>
      </c>
      <c r="F39" s="23" t="s">
        <v>1</v>
      </c>
      <c r="G39" s="24" t="s">
        <v>2</v>
      </c>
      <c r="H39" s="24" t="s">
        <v>3</v>
      </c>
      <c r="I39" s="24" t="s">
        <v>4</v>
      </c>
      <c r="J39" s="24" t="s">
        <v>5</v>
      </c>
      <c r="K39" s="24" t="s">
        <v>6</v>
      </c>
      <c r="L39" s="24" t="s">
        <v>7</v>
      </c>
      <c r="M39" s="15" t="s">
        <v>92</v>
      </c>
    </row>
    <row r="40" spans="1:13" x14ac:dyDescent="0.25">
      <c r="B40" s="31" t="s">
        <v>55</v>
      </c>
      <c r="C40" s="37"/>
      <c r="D40" s="7">
        <f>57*1.05</f>
        <v>59.85</v>
      </c>
      <c r="E40" s="7">
        <f>62*1.05</f>
        <v>65.100000000000009</v>
      </c>
      <c r="F40" s="7">
        <f>66*1.05</f>
        <v>69.3</v>
      </c>
      <c r="G40" s="7">
        <f>68*1.05</f>
        <v>71.400000000000006</v>
      </c>
      <c r="H40" s="7">
        <f>70*1.05</f>
        <v>73.5</v>
      </c>
      <c r="I40" s="7">
        <f>73*1.05</f>
        <v>76.650000000000006</v>
      </c>
      <c r="J40" s="7">
        <f>84*1.05</f>
        <v>88.2</v>
      </c>
      <c r="K40" s="7">
        <f>94*1.05</f>
        <v>98.7</v>
      </c>
      <c r="L40" s="7">
        <f>125*1.05</f>
        <v>131.25</v>
      </c>
      <c r="M40" s="7">
        <f>150*1.05</f>
        <v>157.5</v>
      </c>
    </row>
    <row r="41" spans="1:13" x14ac:dyDescent="0.25">
      <c r="B41" s="31" t="s">
        <v>56</v>
      </c>
      <c r="C41" s="37"/>
      <c r="D41" s="7">
        <f>88*1.05</f>
        <v>92.4</v>
      </c>
      <c r="E41" s="7">
        <f>96*1.05</f>
        <v>100.80000000000001</v>
      </c>
      <c r="F41" s="7">
        <f>101*1.05</f>
        <v>106.05000000000001</v>
      </c>
      <c r="G41" s="7">
        <f>104*1.05</f>
        <v>109.2</v>
      </c>
      <c r="H41" s="7">
        <f>108*1.05</f>
        <v>113.4</v>
      </c>
      <c r="I41" s="7">
        <f>112*1.05</f>
        <v>117.60000000000001</v>
      </c>
      <c r="J41" s="7">
        <f>129*1.05</f>
        <v>135.45000000000002</v>
      </c>
      <c r="K41" s="7">
        <f>144*1.05</f>
        <v>151.20000000000002</v>
      </c>
      <c r="L41" s="7">
        <f>193*1.05</f>
        <v>202.65</v>
      </c>
      <c r="M41" s="7">
        <f>232*1.05</f>
        <v>243.60000000000002</v>
      </c>
    </row>
    <row r="42" spans="1:13" ht="21" x14ac:dyDescent="0.35">
      <c r="B42" s="9" t="s">
        <v>88</v>
      </c>
    </row>
    <row r="43" spans="1:13" x14ac:dyDescent="0.25">
      <c r="B43" s="35"/>
      <c r="C43" s="38"/>
      <c r="D43" s="24" t="s">
        <v>2</v>
      </c>
      <c r="E43" s="24" t="s">
        <v>4</v>
      </c>
      <c r="F43" s="24" t="s">
        <v>5</v>
      </c>
      <c r="G43" s="24" t="s">
        <v>84</v>
      </c>
      <c r="H43" s="24" t="s">
        <v>6</v>
      </c>
      <c r="I43" s="24" t="s">
        <v>85</v>
      </c>
      <c r="J43" s="24" t="s">
        <v>86</v>
      </c>
      <c r="K43" s="24" t="s">
        <v>87</v>
      </c>
      <c r="L43" s="24" t="s">
        <v>8</v>
      </c>
      <c r="M43" s="15" t="s">
        <v>95</v>
      </c>
    </row>
    <row r="44" spans="1:13" x14ac:dyDescent="0.25">
      <c r="B44" s="31" t="s">
        <v>89</v>
      </c>
      <c r="C44" s="37"/>
      <c r="D44" s="7">
        <f>106*1.05</f>
        <v>111.30000000000001</v>
      </c>
      <c r="E44" s="7">
        <f>123*1.05</f>
        <v>129.15</v>
      </c>
      <c r="F44" s="7">
        <f>137*1.05</f>
        <v>143.85</v>
      </c>
      <c r="G44" s="7">
        <f>144*1.05</f>
        <v>151.20000000000002</v>
      </c>
      <c r="H44" s="7">
        <f>151*1.05</f>
        <v>158.55000000000001</v>
      </c>
      <c r="I44" s="7">
        <f>165*1.05</f>
        <v>173.25</v>
      </c>
      <c r="J44" s="7">
        <f>202*1.05</f>
        <v>212.10000000000002</v>
      </c>
      <c r="K44" s="7">
        <f>225*1.05</f>
        <v>236.25</v>
      </c>
      <c r="L44" s="7">
        <f>248*1.05</f>
        <v>260.40000000000003</v>
      </c>
      <c r="M44" s="7">
        <f>287*1.05</f>
        <v>301.35000000000002</v>
      </c>
    </row>
    <row r="45" spans="1:13" x14ac:dyDescent="0.25">
      <c r="B45" s="31" t="s">
        <v>90</v>
      </c>
      <c r="C45" s="37"/>
      <c r="D45" s="7">
        <f>138*1.05</f>
        <v>144.9</v>
      </c>
      <c r="E45" s="7">
        <f>160*1.05</f>
        <v>168</v>
      </c>
      <c r="F45" s="7">
        <f>178*1.05</f>
        <v>186.9</v>
      </c>
      <c r="G45" s="7">
        <f>187*1.05</f>
        <v>196.35</v>
      </c>
      <c r="H45" s="7">
        <f>196*1.05</f>
        <v>205.8</v>
      </c>
      <c r="I45" s="7">
        <f>215*1.05</f>
        <v>225.75</v>
      </c>
      <c r="J45" s="7">
        <f>263*1.05</f>
        <v>276.15000000000003</v>
      </c>
      <c r="K45" s="7">
        <f>293*1.05</f>
        <v>307.65000000000003</v>
      </c>
      <c r="L45" s="7">
        <f>322*1.05</f>
        <v>338.1</v>
      </c>
      <c r="M45" s="7">
        <f>372*1.05</f>
        <v>390.6</v>
      </c>
    </row>
    <row r="47" spans="1:13" ht="21" x14ac:dyDescent="0.35">
      <c r="B47" s="43" t="s">
        <v>81</v>
      </c>
      <c r="D47" s="34" t="s">
        <v>111</v>
      </c>
      <c r="E47" s="34" t="s">
        <v>110</v>
      </c>
      <c r="F47" s="34"/>
    </row>
  </sheetData>
  <mergeCells count="16">
    <mergeCell ref="E6:K6"/>
    <mergeCell ref="B19:C19"/>
    <mergeCell ref="B8:C8"/>
    <mergeCell ref="B12:C13"/>
    <mergeCell ref="B9:C9"/>
    <mergeCell ref="B17:C18"/>
    <mergeCell ref="B14:C14"/>
    <mergeCell ref="A8:A10"/>
    <mergeCell ref="B36:C36"/>
    <mergeCell ref="B28:C28"/>
    <mergeCell ref="B23:C23"/>
    <mergeCell ref="B26:C27"/>
    <mergeCell ref="B22:C22"/>
    <mergeCell ref="B31:C32"/>
    <mergeCell ref="B35:J35"/>
    <mergeCell ref="B33:C33"/>
  </mergeCells>
  <pageMargins left="0.15748031496062992" right="0.23622047244094491" top="0.39370078740157483" bottom="0" header="0.31496062992125984" footer="0.31496062992125984"/>
  <pageSetup paperSize="9"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Труба , конус</vt:lpstr>
      <vt:lpstr>Колено, тройник</vt:lpstr>
      <vt:lpstr>'Колено, тройник'!Область_печати</vt:lpstr>
      <vt:lpstr>'Труба , конус'!Область_печати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Саша</dc:creator>
  <cp:lastModifiedBy>Admin</cp:lastModifiedBy>
  <cp:lastPrinted>2017-09-02T08:05:42Z</cp:lastPrinted>
  <dcterms:created xsi:type="dcterms:W3CDTF">2014-09-06T18:40:42Z</dcterms:created>
  <dcterms:modified xsi:type="dcterms:W3CDTF">2017-10-31T10:04:01Z</dcterms:modified>
</cp:coreProperties>
</file>